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4240" windowHeight="11250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3" l="1"/>
  <c r="D14" i="9"/>
  <c r="D13" i="9"/>
  <c r="D11" i="9"/>
  <c r="D10" i="9"/>
  <c r="D17" i="7"/>
  <c r="G17" i="7"/>
  <c r="D16" i="7"/>
  <c r="G16" i="7"/>
  <c r="D15" i="7"/>
  <c r="G15" i="7"/>
  <c r="D14" i="7"/>
  <c r="G14" i="7"/>
  <c r="D13" i="7"/>
  <c r="G13" i="7"/>
  <c r="D12" i="7"/>
  <c r="G12" i="7"/>
  <c r="D11" i="7"/>
  <c r="G11" i="7"/>
  <c r="D10" i="7"/>
  <c r="G10" i="7"/>
  <c r="D82" i="6"/>
  <c r="G82" i="6"/>
  <c r="D81" i="6"/>
  <c r="G81" i="6"/>
  <c r="D80" i="6"/>
  <c r="G80" i="6"/>
  <c r="D79" i="6"/>
  <c r="G79" i="6"/>
  <c r="D78" i="6"/>
  <c r="G78" i="6"/>
  <c r="D77" i="6"/>
  <c r="G77" i="6"/>
  <c r="D76" i="6"/>
  <c r="G76" i="6"/>
  <c r="D74" i="6"/>
  <c r="G74" i="6"/>
  <c r="D73" i="6"/>
  <c r="G73" i="6"/>
  <c r="D72" i="6"/>
  <c r="G72" i="6"/>
  <c r="D70" i="6"/>
  <c r="G70" i="6"/>
  <c r="D69" i="6"/>
  <c r="G69" i="6"/>
  <c r="D68" i="6"/>
  <c r="G68" i="6"/>
  <c r="D67" i="6"/>
  <c r="G67" i="6"/>
  <c r="D66" i="6"/>
  <c r="G66" i="6"/>
  <c r="D65" i="6"/>
  <c r="G65" i="6"/>
  <c r="D64" i="6"/>
  <c r="G64" i="6"/>
  <c r="D63" i="6"/>
  <c r="G63" i="6"/>
  <c r="B71" i="6"/>
  <c r="C71" i="6"/>
  <c r="D71" i="6"/>
  <c r="E71" i="6"/>
  <c r="F71" i="6"/>
  <c r="G71" i="6"/>
  <c r="D61" i="6"/>
  <c r="G61" i="6"/>
  <c r="D60" i="6"/>
  <c r="G60" i="6"/>
  <c r="D59" i="6"/>
  <c r="G59" i="6"/>
  <c r="D57" i="6"/>
  <c r="G57" i="6"/>
  <c r="D56" i="6"/>
  <c r="G56" i="6"/>
  <c r="D55" i="6"/>
  <c r="G55" i="6"/>
  <c r="D54" i="6"/>
  <c r="G54" i="6"/>
  <c r="D53" i="6"/>
  <c r="G53" i="6"/>
  <c r="D52" i="6"/>
  <c r="G52" i="6"/>
  <c r="D51" i="6"/>
  <c r="G51" i="6"/>
  <c r="D50" i="6"/>
  <c r="G50" i="6"/>
  <c r="D49" i="6"/>
  <c r="G49" i="6"/>
  <c r="D47" i="6"/>
  <c r="G47" i="6"/>
  <c r="D46" i="6"/>
  <c r="G46" i="6"/>
  <c r="D45" i="6"/>
  <c r="G45" i="6"/>
  <c r="D44" i="6"/>
  <c r="G44" i="6"/>
  <c r="D43" i="6"/>
  <c r="G43" i="6"/>
  <c r="D42" i="6"/>
  <c r="G42" i="6"/>
  <c r="D41" i="6"/>
  <c r="G41" i="6"/>
  <c r="D40" i="6"/>
  <c r="G40" i="6"/>
  <c r="D39" i="6"/>
  <c r="G39" i="6"/>
  <c r="D37" i="6"/>
  <c r="G37" i="6"/>
  <c r="D36" i="6"/>
  <c r="G36" i="6"/>
  <c r="D35" i="6"/>
  <c r="G35" i="6"/>
  <c r="D34" i="6"/>
  <c r="G34" i="6"/>
  <c r="D33" i="6"/>
  <c r="G33" i="6"/>
  <c r="D32" i="6"/>
  <c r="G32" i="6"/>
  <c r="D31" i="6"/>
  <c r="G31" i="6"/>
  <c r="D30" i="6"/>
  <c r="G30" i="6"/>
  <c r="D29" i="6"/>
  <c r="G29" i="6"/>
  <c r="D27" i="6"/>
  <c r="G27" i="6"/>
  <c r="D26" i="6"/>
  <c r="G26" i="6"/>
  <c r="D25" i="6"/>
  <c r="G25" i="6"/>
  <c r="D24" i="6"/>
  <c r="G24" i="6"/>
  <c r="D23" i="6"/>
  <c r="G23" i="6"/>
  <c r="D22" i="6"/>
  <c r="G22" i="6"/>
  <c r="D21" i="6"/>
  <c r="G21" i="6"/>
  <c r="D20" i="6"/>
  <c r="G20" i="6"/>
  <c r="D19" i="6"/>
  <c r="G19" i="6"/>
  <c r="D17" i="6"/>
  <c r="G17" i="6"/>
  <c r="D16" i="6"/>
  <c r="G16" i="6"/>
  <c r="D15" i="6"/>
  <c r="G15" i="6"/>
  <c r="D14" i="6"/>
  <c r="G14" i="6"/>
  <c r="D13" i="6"/>
  <c r="G13" i="6"/>
  <c r="D12" i="6"/>
  <c r="G12" i="6"/>
  <c r="D11" i="6"/>
  <c r="G11" i="6"/>
  <c r="G74" i="5"/>
  <c r="D74" i="5"/>
  <c r="G73" i="5"/>
  <c r="D73" i="5"/>
  <c r="G68" i="5"/>
  <c r="D68" i="5"/>
  <c r="G63" i="5"/>
  <c r="D63" i="5"/>
  <c r="G62" i="5"/>
  <c r="D62" i="5"/>
  <c r="G61" i="5"/>
  <c r="D61" i="5"/>
  <c r="G60" i="5"/>
  <c r="D60" i="5"/>
  <c r="G58" i="5"/>
  <c r="D58" i="5"/>
  <c r="G57" i="5"/>
  <c r="D57" i="5"/>
  <c r="G56" i="5"/>
  <c r="D56" i="5"/>
  <c r="G55" i="5"/>
  <c r="D55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G39" i="5"/>
  <c r="D39" i="5"/>
  <c r="G38" i="5"/>
  <c r="D38" i="5"/>
  <c r="G36" i="5"/>
  <c r="D36" i="5"/>
  <c r="G34" i="5"/>
  <c r="D34" i="5"/>
  <c r="G33" i="5"/>
  <c r="D33" i="5"/>
  <c r="G32" i="5"/>
  <c r="D32" i="5"/>
  <c r="G31" i="5"/>
  <c r="D31" i="5"/>
  <c r="G30" i="5"/>
  <c r="D30" i="5"/>
  <c r="G29" i="5"/>
  <c r="D29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F20" i="2"/>
  <c r="C47" i="1"/>
  <c r="B47" i="1"/>
  <c r="G138" i="6"/>
  <c r="G139" i="6"/>
  <c r="G140" i="6"/>
  <c r="G141" i="6"/>
  <c r="G142" i="6"/>
  <c r="G144" i="6"/>
  <c r="G145" i="6"/>
  <c r="G137" i="6"/>
  <c r="C137" i="6"/>
  <c r="D137" i="6"/>
  <c r="E137" i="6"/>
  <c r="F137" i="6"/>
  <c r="B137" i="6"/>
  <c r="C62" i="6"/>
  <c r="D62" i="6"/>
  <c r="E62" i="6"/>
  <c r="F62" i="6"/>
  <c r="G62" i="6"/>
  <c r="B62" i="6"/>
  <c r="B8" i="10"/>
  <c r="C6" i="23"/>
  <c r="B9" i="1"/>
  <c r="H25" i="23"/>
  <c r="G25" i="23"/>
  <c r="F25" i="23"/>
  <c r="E25" i="23"/>
  <c r="D25" i="23"/>
  <c r="G30" i="9"/>
  <c r="G31" i="9"/>
  <c r="G29" i="9"/>
  <c r="G26" i="9"/>
  <c r="G27" i="9"/>
  <c r="G25" i="9"/>
  <c r="G23" i="9"/>
  <c r="G22" i="9"/>
  <c r="G19" i="9"/>
  <c r="G18" i="9"/>
  <c r="G17" i="9"/>
  <c r="G14" i="9"/>
  <c r="G15" i="9"/>
  <c r="G13" i="9"/>
  <c r="G11" i="9"/>
  <c r="G10" i="9"/>
  <c r="C7" i="23"/>
  <c r="A2" i="9"/>
  <c r="A2" i="6"/>
  <c r="G73" i="8"/>
  <c r="G74" i="8"/>
  <c r="G75" i="8"/>
  <c r="G72" i="8"/>
  <c r="G71" i="8"/>
  <c r="G63" i="8"/>
  <c r="G64" i="8"/>
  <c r="G65" i="8"/>
  <c r="G66" i="8"/>
  <c r="G67" i="8"/>
  <c r="G68" i="8"/>
  <c r="G69" i="8"/>
  <c r="G70" i="8"/>
  <c r="G62" i="8"/>
  <c r="G55" i="8"/>
  <c r="G56" i="8"/>
  <c r="G57" i="8"/>
  <c r="G58" i="8"/>
  <c r="G59" i="8"/>
  <c r="G60" i="8"/>
  <c r="G54" i="8"/>
  <c r="G46" i="8"/>
  <c r="G47" i="8"/>
  <c r="G48" i="8"/>
  <c r="G49" i="8"/>
  <c r="G50" i="8"/>
  <c r="G51" i="8"/>
  <c r="G52" i="8"/>
  <c r="G45" i="8"/>
  <c r="G39" i="8"/>
  <c r="G40" i="8"/>
  <c r="G41" i="8"/>
  <c r="G38" i="8"/>
  <c r="G11" i="8"/>
  <c r="G12" i="8"/>
  <c r="G13" i="8"/>
  <c r="G14" i="8"/>
  <c r="G15" i="8"/>
  <c r="G16" i="8"/>
  <c r="G17" i="8"/>
  <c r="G18" i="8"/>
  <c r="G10" i="8"/>
  <c r="G20" i="8"/>
  <c r="G21" i="8"/>
  <c r="G22" i="8"/>
  <c r="G23" i="8"/>
  <c r="G24" i="8"/>
  <c r="G25" i="8"/>
  <c r="G26" i="8"/>
  <c r="G19" i="8"/>
  <c r="G28" i="8"/>
  <c r="G29" i="8"/>
  <c r="G30" i="8"/>
  <c r="G31" i="8"/>
  <c r="G32" i="8"/>
  <c r="G33" i="8"/>
  <c r="G34" i="8"/>
  <c r="G35" i="8"/>
  <c r="G36" i="8"/>
  <c r="G27" i="8"/>
  <c r="G37" i="8"/>
  <c r="G21" i="7"/>
  <c r="G22" i="7"/>
  <c r="G23" i="7"/>
  <c r="G24" i="7"/>
  <c r="G25" i="7"/>
  <c r="G26" i="7"/>
  <c r="G27" i="7"/>
  <c r="G20" i="7"/>
  <c r="B10" i="6"/>
  <c r="B18" i="6"/>
  <c r="B28" i="6"/>
  <c r="B38" i="6"/>
  <c r="B48" i="6"/>
  <c r="B58" i="6"/>
  <c r="B75" i="6"/>
  <c r="B9" i="6"/>
  <c r="G152" i="6"/>
  <c r="G153" i="6"/>
  <c r="G154" i="6"/>
  <c r="G155" i="6"/>
  <c r="G156" i="6"/>
  <c r="G157" i="6"/>
  <c r="G151" i="6"/>
  <c r="G148" i="6"/>
  <c r="G149" i="6"/>
  <c r="G147" i="6"/>
  <c r="G143" i="6"/>
  <c r="G135" i="6"/>
  <c r="G136" i="6"/>
  <c r="G134" i="6"/>
  <c r="G125" i="6"/>
  <c r="G126" i="6"/>
  <c r="G127" i="6"/>
  <c r="G128" i="6"/>
  <c r="G129" i="6"/>
  <c r="G130" i="6"/>
  <c r="G131" i="6"/>
  <c r="G132" i="6"/>
  <c r="G124" i="6"/>
  <c r="G115" i="6"/>
  <c r="G116" i="6"/>
  <c r="G117" i="6"/>
  <c r="G118" i="6"/>
  <c r="G119" i="6"/>
  <c r="G120" i="6"/>
  <c r="G121" i="6"/>
  <c r="G122" i="6"/>
  <c r="G114" i="6"/>
  <c r="G105" i="6"/>
  <c r="G106" i="6"/>
  <c r="G107" i="6"/>
  <c r="G108" i="6"/>
  <c r="G109" i="6"/>
  <c r="G110" i="6"/>
  <c r="G111" i="6"/>
  <c r="G112" i="6"/>
  <c r="G104" i="6"/>
  <c r="G95" i="6"/>
  <c r="G96" i="6"/>
  <c r="G97" i="6"/>
  <c r="G98" i="6"/>
  <c r="G99" i="6"/>
  <c r="G100" i="6"/>
  <c r="G101" i="6"/>
  <c r="G102" i="6"/>
  <c r="G94" i="6"/>
  <c r="G87" i="6"/>
  <c r="G88" i="6"/>
  <c r="G89" i="6"/>
  <c r="G90" i="6"/>
  <c r="G91" i="6"/>
  <c r="G92" i="6"/>
  <c r="G86" i="6"/>
  <c r="B7" i="13"/>
  <c r="G18" i="6"/>
  <c r="G10" i="6"/>
  <c r="G16" i="5"/>
  <c r="G28" i="5"/>
  <c r="G35" i="5"/>
  <c r="G37" i="5"/>
  <c r="G41" i="5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2" i="9"/>
  <c r="G16" i="9"/>
  <c r="G9" i="9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C21" i="9"/>
  <c r="Q13" i="27"/>
  <c r="D24" i="9"/>
  <c r="D28" i="9"/>
  <c r="D21" i="9"/>
  <c r="R13" i="27"/>
  <c r="E24" i="9"/>
  <c r="E28" i="9"/>
  <c r="E21" i="9"/>
  <c r="S13" i="27"/>
  <c r="F24" i="9"/>
  <c r="F28" i="9"/>
  <c r="F21" i="9"/>
  <c r="T13" i="27"/>
  <c r="G24" i="9"/>
  <c r="G28" i="9"/>
  <c r="G21" i="9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C33" i="9"/>
  <c r="Q24" i="27"/>
  <c r="D33" i="9"/>
  <c r="R24" i="27"/>
  <c r="E33" i="9"/>
  <c r="S24" i="27"/>
  <c r="F33" i="9"/>
  <c r="T24" i="27"/>
  <c r="G33" i="9"/>
  <c r="U24" i="27"/>
  <c r="P3" i="27"/>
  <c r="P4" i="27"/>
  <c r="B12" i="9"/>
  <c r="P5" i="27"/>
  <c r="P6" i="27"/>
  <c r="P7" i="27"/>
  <c r="P8" i="27"/>
  <c r="B16" i="9"/>
  <c r="P9" i="27"/>
  <c r="P10" i="27"/>
  <c r="P11" i="27"/>
  <c r="P12" i="27"/>
  <c r="B24" i="9"/>
  <c r="B28" i="9"/>
  <c r="B21" i="9"/>
  <c r="P13" i="27"/>
  <c r="P14" i="27"/>
  <c r="P15" i="27"/>
  <c r="P16" i="27"/>
  <c r="P17" i="27"/>
  <c r="P18" i="27"/>
  <c r="P19" i="27"/>
  <c r="P20" i="27"/>
  <c r="P21" i="27"/>
  <c r="P22" i="27"/>
  <c r="P23" i="27"/>
  <c r="B9" i="9"/>
  <c r="B33" i="9"/>
  <c r="P24" i="27"/>
  <c r="P2" i="27"/>
  <c r="A5" i="27"/>
  <c r="A4" i="27"/>
  <c r="A3" i="27"/>
  <c r="A2" i="27"/>
  <c r="C10" i="8"/>
  <c r="C19" i="8"/>
  <c r="C27" i="8"/>
  <c r="C37" i="8"/>
  <c r="C9" i="8"/>
  <c r="Q2" i="26"/>
  <c r="D10" i="8"/>
  <c r="D19" i="8"/>
  <c r="D27" i="8"/>
  <c r="D37" i="8"/>
  <c r="D9" i="8"/>
  <c r="R2" i="26"/>
  <c r="E10" i="8"/>
  <c r="E19" i="8"/>
  <c r="E27" i="8"/>
  <c r="E37" i="8"/>
  <c r="E9" i="8"/>
  <c r="S2" i="26"/>
  <c r="F10" i="8"/>
  <c r="F19" i="8"/>
  <c r="F27" i="8"/>
  <c r="F37" i="8"/>
  <c r="F9" i="8"/>
  <c r="T2" i="26"/>
  <c r="G9" i="8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53" i="8"/>
  <c r="C61" i="8"/>
  <c r="C71" i="8"/>
  <c r="C43" i="8"/>
  <c r="Q35" i="26"/>
  <c r="D44" i="8"/>
  <c r="D53" i="8"/>
  <c r="D61" i="8"/>
  <c r="D71" i="8"/>
  <c r="D43" i="8"/>
  <c r="R35" i="26"/>
  <c r="E44" i="8"/>
  <c r="E53" i="8"/>
  <c r="E61" i="8"/>
  <c r="E71" i="8"/>
  <c r="E43" i="8"/>
  <c r="S35" i="26"/>
  <c r="F44" i="8"/>
  <c r="F53" i="8"/>
  <c r="F61" i="8"/>
  <c r="F71" i="8"/>
  <c r="F43" i="8"/>
  <c r="T35" i="26"/>
  <c r="G44" i="8"/>
  <c r="G53" i="8"/>
  <c r="G61" i="8"/>
  <c r="G43" i="8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C77" i="8"/>
  <c r="Q68" i="26"/>
  <c r="D77" i="8"/>
  <c r="R68" i="26"/>
  <c r="E77" i="8"/>
  <c r="S68" i="26"/>
  <c r="F77" i="8"/>
  <c r="T68" i="26"/>
  <c r="G77" i="8"/>
  <c r="U68" i="26"/>
  <c r="B44" i="8"/>
  <c r="B53" i="8"/>
  <c r="B61" i="8"/>
  <c r="B71" i="8"/>
  <c r="B43" i="8"/>
  <c r="B10" i="8"/>
  <c r="B19" i="8"/>
  <c r="B27" i="8"/>
  <c r="B37" i="8"/>
  <c r="B9" i="8"/>
  <c r="B77" i="8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G29" i="7"/>
  <c r="U4" i="25"/>
  <c r="F9" i="7"/>
  <c r="F19" i="7"/>
  <c r="F29" i="7"/>
  <c r="T4" i="25"/>
  <c r="E9" i="7"/>
  <c r="E19" i="7"/>
  <c r="E29" i="7"/>
  <c r="S4" i="25"/>
  <c r="S3" i="25"/>
  <c r="D9" i="7"/>
  <c r="D19" i="7"/>
  <c r="D29" i="7"/>
  <c r="R4" i="25"/>
  <c r="R3" i="25"/>
  <c r="C9" i="7"/>
  <c r="C19" i="7"/>
  <c r="C29" i="7"/>
  <c r="Q4" i="25"/>
  <c r="B9" i="7"/>
  <c r="B19" i="7"/>
  <c r="B29" i="7"/>
  <c r="P4" i="25"/>
  <c r="U3" i="25"/>
  <c r="T3" i="25"/>
  <c r="Q3" i="25"/>
  <c r="P3" i="25"/>
  <c r="S2" i="25"/>
  <c r="R2" i="25"/>
  <c r="A3" i="25"/>
  <c r="A4" i="25"/>
  <c r="A2" i="25"/>
  <c r="A87" i="24"/>
  <c r="C85" i="6"/>
  <c r="C93" i="6"/>
  <c r="C103" i="6"/>
  <c r="C113" i="6"/>
  <c r="C123" i="6"/>
  <c r="C133" i="6"/>
  <c r="C146" i="6"/>
  <c r="C150" i="6"/>
  <c r="C84" i="6"/>
  <c r="Q76" i="24"/>
  <c r="D85" i="6"/>
  <c r="D93" i="6"/>
  <c r="D103" i="6"/>
  <c r="D113" i="6"/>
  <c r="D123" i="6"/>
  <c r="D133" i="6"/>
  <c r="D146" i="6"/>
  <c r="D150" i="6"/>
  <c r="D84" i="6"/>
  <c r="R76" i="24"/>
  <c r="E85" i="6"/>
  <c r="E93" i="6"/>
  <c r="E103" i="6"/>
  <c r="E113" i="6"/>
  <c r="E123" i="6"/>
  <c r="E133" i="6"/>
  <c r="E146" i="6"/>
  <c r="E150" i="6"/>
  <c r="E84" i="6"/>
  <c r="S76" i="24"/>
  <c r="F85" i="6"/>
  <c r="F93" i="6"/>
  <c r="F103" i="6"/>
  <c r="F113" i="6"/>
  <c r="F123" i="6"/>
  <c r="F133" i="6"/>
  <c r="F146" i="6"/>
  <c r="F150" i="6"/>
  <c r="F84" i="6"/>
  <c r="T76" i="24"/>
  <c r="G85" i="6"/>
  <c r="G93" i="6"/>
  <c r="G103" i="6"/>
  <c r="G113" i="6"/>
  <c r="G123" i="6"/>
  <c r="G133" i="6"/>
  <c r="G146" i="6"/>
  <c r="G150" i="6"/>
  <c r="G84" i="6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C18" i="6"/>
  <c r="C28" i="6"/>
  <c r="C38" i="6"/>
  <c r="C48" i="6"/>
  <c r="C58" i="6"/>
  <c r="C75" i="6"/>
  <c r="C9" i="6"/>
  <c r="C159" i="6"/>
  <c r="Q150" i="24"/>
  <c r="D10" i="6"/>
  <c r="D18" i="6"/>
  <c r="D28" i="6"/>
  <c r="D38" i="6"/>
  <c r="D48" i="6"/>
  <c r="D58" i="6"/>
  <c r="D75" i="6"/>
  <c r="D9" i="6"/>
  <c r="D159" i="6"/>
  <c r="R150" i="24"/>
  <c r="E10" i="6"/>
  <c r="E18" i="6"/>
  <c r="E28" i="6"/>
  <c r="E38" i="6"/>
  <c r="E48" i="6"/>
  <c r="E58" i="6"/>
  <c r="E75" i="6"/>
  <c r="E9" i="6"/>
  <c r="E159" i="6"/>
  <c r="S150" i="24"/>
  <c r="F10" i="6"/>
  <c r="F18" i="6"/>
  <c r="F28" i="6"/>
  <c r="F38" i="6"/>
  <c r="F48" i="6"/>
  <c r="F58" i="6"/>
  <c r="F75" i="6"/>
  <c r="F9" i="6"/>
  <c r="F159" i="6"/>
  <c r="T150" i="24"/>
  <c r="G28" i="6"/>
  <c r="G38" i="6"/>
  <c r="G48" i="6"/>
  <c r="G58" i="6"/>
  <c r="G75" i="6"/>
  <c r="G9" i="6"/>
  <c r="G159" i="6"/>
  <c r="U150" i="24"/>
  <c r="B85" i="6"/>
  <c r="B93" i="6"/>
  <c r="B103" i="6"/>
  <c r="B113" i="6"/>
  <c r="B123" i="6"/>
  <c r="B133" i="6"/>
  <c r="B146" i="6"/>
  <c r="B150" i="6"/>
  <c r="B84" i="6"/>
  <c r="B159" i="6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G45" i="5"/>
  <c r="U37" i="20"/>
  <c r="U38" i="20"/>
  <c r="U39" i="20"/>
  <c r="U40" i="20"/>
  <c r="U41" i="20"/>
  <c r="U42" i="20"/>
  <c r="U43" i="20"/>
  <c r="U44" i="20"/>
  <c r="U45" i="20"/>
  <c r="G54" i="5"/>
  <c r="U46" i="20"/>
  <c r="U47" i="20"/>
  <c r="U48" i="20"/>
  <c r="U49" i="20"/>
  <c r="U50" i="20"/>
  <c r="G59" i="5"/>
  <c r="U51" i="20"/>
  <c r="U52" i="20"/>
  <c r="U53" i="20"/>
  <c r="U54" i="20"/>
  <c r="U55" i="20"/>
  <c r="G65" i="5"/>
  <c r="U56" i="20"/>
  <c r="G67" i="5"/>
  <c r="U57" i="20"/>
  <c r="U58" i="20"/>
  <c r="U60" i="20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1" i="5"/>
  <c r="Q34" i="20"/>
  <c r="D41" i="5"/>
  <c r="R34" i="20"/>
  <c r="E41" i="5"/>
  <c r="S34" i="20"/>
  <c r="F41" i="5"/>
  <c r="T34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D65" i="5"/>
  <c r="R56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B54" i="5"/>
  <c r="B59" i="5"/>
  <c r="B65" i="5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B16" i="5"/>
  <c r="B28" i="5"/>
  <c r="B35" i="5"/>
  <c r="B37" i="5"/>
  <c r="B41" i="5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F19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J14" i="3"/>
  <c r="X4" i="17"/>
  <c r="I14" i="3"/>
  <c r="I8" i="3"/>
  <c r="I20" i="3"/>
  <c r="W5" i="17"/>
  <c r="H14" i="3"/>
  <c r="G14" i="3"/>
  <c r="E14" i="3"/>
  <c r="K9" i="3"/>
  <c r="K10" i="3"/>
  <c r="K11" i="3"/>
  <c r="K12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63" i="4"/>
  <c r="B55" i="4"/>
  <c r="B53" i="4"/>
  <c r="B49" i="4"/>
  <c r="B48" i="4"/>
  <c r="B37" i="4"/>
  <c r="B44" i="4"/>
  <c r="B8" i="4"/>
  <c r="B29" i="4"/>
  <c r="B17" i="4"/>
  <c r="B13" i="4"/>
  <c r="B21" i="4"/>
  <c r="B57" i="4"/>
  <c r="B59" i="4"/>
  <c r="B72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F31" i="1"/>
  <c r="F38" i="1"/>
  <c r="F42" i="1"/>
  <c r="F63" i="1"/>
  <c r="Q106" i="15"/>
  <c r="Q107" i="15"/>
  <c r="Q108" i="15"/>
  <c r="Q109" i="15"/>
  <c r="F68" i="1"/>
  <c r="Q110" i="15"/>
  <c r="Q111" i="15"/>
  <c r="Q112" i="15"/>
  <c r="Q113" i="15"/>
  <c r="Q114" i="15"/>
  <c r="Q115" i="15"/>
  <c r="F75" i="1"/>
  <c r="Q116" i="15"/>
  <c r="Q117" i="15"/>
  <c r="Q118" i="15"/>
  <c r="F79" i="1"/>
  <c r="Q119" i="15"/>
  <c r="E9" i="1"/>
  <c r="E19" i="1"/>
  <c r="E23" i="1"/>
  <c r="E27" i="1"/>
  <c r="E31" i="1"/>
  <c r="E38" i="1"/>
  <c r="E42" i="1"/>
  <c r="E47" i="1"/>
  <c r="E57" i="1"/>
  <c r="E59" i="1"/>
  <c r="E63" i="1"/>
  <c r="E68" i="1"/>
  <c r="E75" i="1"/>
  <c r="E79" i="1"/>
  <c r="E81" i="1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C9" i="1"/>
  <c r="C17" i="1"/>
  <c r="C25" i="1"/>
  <c r="C31" i="1"/>
  <c r="C38" i="1"/>
  <c r="C41" i="1"/>
  <c r="C60" i="1"/>
  <c r="C62" i="1"/>
  <c r="Q54" i="15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B23" i="4"/>
  <c r="B25" i="4"/>
  <c r="B33" i="4"/>
  <c r="G70" i="5"/>
  <c r="F70" i="5"/>
  <c r="E70" i="5"/>
  <c r="D70" i="5"/>
  <c r="C70" i="5"/>
  <c r="B70" i="5"/>
  <c r="Y4" i="17"/>
  <c r="Y3" i="17"/>
  <c r="C70" i="4"/>
  <c r="D70" i="4"/>
  <c r="C68" i="4"/>
  <c r="D68" i="4"/>
  <c r="C64" i="4"/>
  <c r="D64" i="4"/>
  <c r="C63" i="4"/>
  <c r="D63" i="4"/>
  <c r="C48" i="4"/>
  <c r="C55" i="4"/>
  <c r="D55" i="4"/>
  <c r="C53" i="4"/>
  <c r="D53" i="4"/>
  <c r="D48" i="4"/>
  <c r="C49" i="4"/>
  <c r="D49" i="4"/>
  <c r="C29" i="4"/>
  <c r="D29" i="4"/>
  <c r="C40" i="4"/>
  <c r="D40" i="4"/>
  <c r="C37" i="4"/>
  <c r="D37" i="4"/>
  <c r="C17" i="4"/>
  <c r="C13" i="4"/>
  <c r="D13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D57" i="4"/>
  <c r="D59" i="4"/>
  <c r="B8" i="2"/>
  <c r="E8" i="2"/>
  <c r="D8" i="2"/>
  <c r="D20" i="2"/>
  <c r="R13" i="16"/>
  <c r="C44" i="4"/>
  <c r="C72" i="4"/>
  <c r="C57" i="4"/>
  <c r="C59" i="4"/>
  <c r="P12" i="18"/>
  <c r="H8" i="2"/>
  <c r="H20" i="2"/>
  <c r="V13" i="16"/>
  <c r="F8" i="2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B20" i="2"/>
  <c r="P13" i="16"/>
  <c r="P3" i="16"/>
  <c r="G20" i="2"/>
  <c r="U13" i="16"/>
  <c r="U3" i="16"/>
  <c r="B62" i="1"/>
  <c r="P54" i="15"/>
  <c r="P42" i="15"/>
  <c r="P39" i="18"/>
  <c r="P38" i="18"/>
  <c r="C8" i="4"/>
  <c r="Q5" i="18"/>
  <c r="Q39" i="18"/>
  <c r="D8" i="4"/>
  <c r="R5" i="18"/>
  <c r="R39" i="18"/>
  <c r="P13" i="18"/>
  <c r="R2" i="18"/>
  <c r="D21" i="4"/>
  <c r="C21" i="4"/>
  <c r="Q2" i="18"/>
  <c r="P18" i="18"/>
  <c r="P14" i="18"/>
  <c r="C23" i="4"/>
  <c r="Q12" i="18"/>
  <c r="D23" i="4"/>
  <c r="R12" i="18"/>
  <c r="D25" i="4"/>
  <c r="R13" i="18"/>
  <c r="C25" i="4"/>
  <c r="Q13" i="18"/>
  <c r="R14" i="18"/>
  <c r="D33" i="4"/>
  <c r="C33" i="4"/>
  <c r="Q14" i="18"/>
  <c r="Q18" i="18"/>
  <c r="R18" i="18"/>
  <c r="F47" i="1"/>
  <c r="F59" i="1"/>
  <c r="Q104" i="15"/>
  <c r="F81" i="1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<sst xmlns="http://schemas.openxmlformats.org/spreadsheetml/2006/main" count="4243" uniqueCount="3305">
  <si>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</si>
  <si>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</si>
  <si>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</si>
  <si>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</si>
  <si>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</si>
  <si>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</si>
  <si>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</si>
  <si>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</si>
  <si>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</si>
  <si>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</si>
  <si>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</si>
  <si>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</si>
  <si>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</si>
  <si>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</si>
  <si>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</si>
  <si>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</si>
  <si>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</si>
  <si>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</si>
  <si>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</si>
  <si>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</si>
  <si>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</si>
  <si>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</si>
  <si>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</si>
  <si>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</si>
  <si>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</si>
  <si>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</si>
  <si>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</si>
  <si>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</si>
  <si>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</si>
  <si>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</si>
  <si>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</si>
  <si>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</si>
  <si>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</si>
  <si>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</si>
  <si>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</si>
  <si>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</si>
  <si>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</si>
  <si>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</si>
  <si>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</si>
  <si>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</si>
  <si>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</si>
  <si>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</si>
  <si>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</si>
  <si>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</si>
  <si>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</si>
  <si>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</si>
  <si>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</si>
  <si>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</si>
  <si>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</si>
  <si>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</si>
  <si>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</si>
  <si>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</si>
  <si>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</si>
  <si>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</si>
  <si>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</si>
  <si>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</si>
  <si>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</si>
  <si>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</si>
  <si>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</si>
  <si>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</si>
  <si>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</si>
  <si>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</si>
  <si>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</si>
  <si>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</si>
  <si>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</si>
  <si>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</si>
  <si>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</si>
  <si>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</si>
  <si>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</si>
  <si>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</si>
  <si>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</si>
  <si>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</si>
  <si>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</si>
  <si>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</si>
  <si>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</si>
  <si>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</si>
  <si>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</si>
  <si>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</si>
  <si>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</si>
  <si>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</si>
  <si>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</si>
  <si>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</si>
  <si>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</si>
  <si>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</si>
  <si>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</si>
  <si>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</si>
  <si>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</si>
  <si>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</si>
  <si>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</si>
  <si>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</si>
  <si>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</si>
  <si>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</si>
  <si>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</si>
  <si>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</si>
  <si>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</si>
  <si>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</si>
  <si>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</si>
  <si>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</si>
  <si>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</si>
  <si>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</si>
  <si>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</si>
  <si>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</si>
  <si>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</si>
  <si>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</si>
  <si>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</si>
  <si>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</si>
  <si>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</si>
  <si>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</si>
  <si>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</si>
  <si>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</si>
  <si>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</si>
  <si>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</si>
  <si>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</si>
  <si>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</si>
  <si>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</si>
  <si>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</si>
  <si>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</si>
  <si>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</si>
  <si>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</si>
  <si>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</si>
  <si>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</si>
  <si>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</si>
  <si>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</si>
  <si>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</si>
  <si>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</si>
  <si>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</si>
  <si>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</si>
  <si>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</si>
  <si>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</si>
  <si>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</si>
  <si>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</si>
  <si>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</si>
  <si>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</si>
  <si>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</si>
  <si>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</si>
  <si>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</si>
  <si>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</si>
  <si>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</si>
  <si>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</si>
  <si>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</si>
  <si>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</si>
  <si>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</si>
  <si>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</si>
  <si>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</si>
  <si>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</si>
  <si>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</si>
  <si>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</si>
  <si>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</si>
  <si>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</si>
  <si>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</si>
  <si>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</si>
  <si>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</si>
  <si>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</si>
  <si>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</si>
  <si>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</si>
  <si>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</si>
  <si>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</si>
  <si>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</si>
  <si>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</si>
  <si>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</si>
  <si>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</si>
  <si>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</si>
  <si>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</si>
  <si>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</si>
  <si>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</si>
  <si>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</si>
  <si>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</si>
  <si>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</si>
  <si>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</si>
  <si>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</si>
  <si>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</si>
  <si>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</si>
  <si>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</si>
  <si>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</si>
  <si>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</si>
  <si>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</si>
  <si>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</si>
  <si>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</si>
  <si>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</si>
  <si>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</si>
  <si>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</si>
  <si>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</si>
  <si>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</si>
  <si>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</si>
  <si>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</si>
  <si>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</si>
  <si>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</si>
  <si>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</si>
  <si>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</si>
  <si>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</si>
  <si>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</si>
  <si>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</si>
  <si>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</si>
  <si>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</si>
  <si>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</si>
  <si>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</si>
  <si>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</si>
  <si>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</si>
  <si>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</si>
  <si>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</si>
  <si>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</si>
  <si>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</si>
  <si>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</si>
  <si>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</si>
  <si>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</si>
  <si>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</si>
  <si>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</si>
  <si>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</si>
  <si>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</si>
  <si>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</si>
  <si>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</si>
  <si>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</si>
  <si>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</si>
  <si>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</si>
  <si>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</si>
  <si>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</si>
  <si>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</si>
  <si>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</si>
  <si>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</si>
  <si>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</si>
  <si>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</si>
  <si>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</si>
  <si>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</si>
  <si>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</si>
  <si>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</si>
  <si>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</si>
  <si>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</si>
  <si>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</si>
  <si>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</si>
  <si>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</si>
  <si>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</si>
  <si>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</si>
  <si>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</si>
  <si>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</si>
  <si>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</si>
  <si>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</si>
  <si>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</si>
  <si>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</si>
  <si>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</si>
  <si>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</si>
  <si>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</si>
  <si>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</si>
  <si>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</si>
  <si>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</si>
  <si>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</si>
  <si>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</si>
  <si>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</si>
  <si>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</si>
  <si>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</si>
  <si>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</si>
  <si>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</si>
  <si>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</si>
  <si>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</si>
  <si>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</si>
  <si>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</si>
  <si>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</si>
  <si>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</si>
  <si>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</si>
  <si>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</si>
  <si>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</si>
  <si>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</si>
  <si>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</si>
  <si>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</si>
  <si>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</si>
  <si>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</si>
  <si>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</si>
  <si>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</si>
  <si>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</si>
  <si>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</si>
  <si>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</si>
  <si>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</si>
  <si>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</si>
  <si>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</si>
  <si>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</si>
  <si>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</si>
  <si>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</si>
  <si>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</si>
  <si>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</si>
  <si>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</si>
  <si>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</si>
  <si>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</si>
  <si>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</si>
  <si>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</si>
  <si>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</si>
  <si>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</si>
  <si>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</si>
  <si>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</si>
  <si>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</si>
  <si>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</si>
  <si>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</si>
  <si>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</si>
  <si>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</si>
  <si>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</si>
  <si>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</si>
  <si>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</si>
  <si>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</si>
  <si>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</si>
  <si>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</si>
  <si>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</si>
  <si>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</si>
  <si>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</si>
  <si>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</si>
  <si>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</si>
  <si>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</si>
  <si>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</si>
  <si>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</si>
  <si>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</si>
  <si>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</si>
  <si>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</si>
  <si>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</si>
  <si>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</si>
  <si>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</si>
  <si>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</si>
  <si>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</si>
  <si>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</si>
  <si>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</si>
  <si>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</si>
  <si>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</si>
  <si>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</si>
  <si>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</si>
  <si>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</si>
  <si>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</si>
  <si>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</si>
  <si>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</si>
  <si>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</si>
  <si>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</si>
  <si>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</si>
  <si>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</si>
  <si>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</si>
  <si>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</si>
  <si>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</si>
  <si>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</si>
  <si>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</si>
  <si>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</si>
  <si>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</si>
  <si>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</si>
  <si>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</si>
  <si>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</si>
  <si>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</si>
  <si>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</si>
  <si>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</si>
  <si>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</si>
  <si>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</si>
  <si>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</si>
  <si>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</si>
  <si>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</si>
  <si>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</si>
  <si>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</si>
  <si>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</si>
  <si>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</si>
  <si>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</si>
  <si>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</si>
  <si>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</si>
  <si>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</si>
  <si>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</si>
  <si>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</si>
  <si>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</si>
  <si>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</si>
  <si>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</si>
  <si>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</si>
  <si>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</si>
  <si>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</si>
  <si>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</si>
  <si>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</si>
  <si>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</si>
  <si>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</si>
  <si>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</si>
  <si>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</si>
  <si>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</si>
  <si>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</si>
  <si>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</si>
  <si>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</si>
  <si>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</si>
  <si>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</si>
  <si>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</si>
  <si>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</si>
  <si>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</si>
  <si>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</si>
  <si>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</si>
  <si>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</si>
  <si>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</si>
  <si>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</si>
  <si>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</si>
  <si>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</si>
  <si>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</si>
  <si>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</si>
  <si>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</si>
  <si>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</si>
  <si>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</si>
  <si>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</si>
  <si>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</si>
  <si>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</si>
  <si>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</si>
  <si>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</si>
  <si>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</si>
  <si>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</si>
  <si>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</si>
  <si>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</si>
  <si>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</si>
  <si>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</si>
  <si>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</si>
  <si>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</si>
  <si>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</si>
  <si>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</si>
  <si>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</si>
  <si>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</si>
  <si>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</si>
  <si>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</si>
  <si>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</si>
  <si>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</si>
  <si>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</si>
  <si>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</si>
  <si>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</si>
  <si>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</si>
  <si>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</si>
  <si>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</si>
  <si>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</si>
  <si>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</si>
  <si>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</si>
  <si>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</si>
  <si>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</si>
  <si>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</si>
  <si>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</si>
  <si>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</si>
  <si>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</si>
  <si>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</si>
  <si>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</si>
  <si>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</si>
  <si>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</si>
  <si>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</si>
  <si>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</si>
  <si>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</si>
  <si>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</si>
  <si>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</si>
  <si>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</si>
  <si>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</si>
  <si>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</si>
  <si>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</si>
  <si>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</si>
  <si>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</si>
  <si>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</si>
  <si>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</si>
  <si>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</si>
  <si>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</si>
  <si>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</si>
  <si>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</si>
  <si>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</si>
  <si>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</si>
  <si>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</si>
  <si>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</si>
  <si>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</si>
  <si>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</si>
  <si>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</si>
  <si>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</si>
  <si>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</si>
  <si>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</si>
  <si>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</si>
  <si>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</si>
  <si>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</si>
  <si>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</si>
  <si>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</si>
  <si>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</si>
  <si>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</si>
  <si>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</si>
  <si>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</si>
  <si>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</si>
  <si>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</si>
  <si>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</si>
  <si>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</si>
  <si>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</si>
  <si>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</si>
  <si>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</si>
  <si>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</si>
  <si>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</si>
  <si>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</si>
  <si>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</si>
  <si>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</si>
  <si>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</si>
  <si>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</si>
  <si>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</si>
  <si>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</si>
  <si>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</si>
  <si>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</si>
  <si>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</si>
  <si>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</si>
  <si>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</si>
  <si>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</si>
  <si>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</si>
  <si>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</si>
  <si>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</si>
  <si>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</si>
  <si>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</si>
  <si>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</si>
  <si>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</si>
  <si>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</si>
  <si>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</si>
  <si>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</si>
  <si>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</si>
  <si>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</si>
  <si>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</si>
  <si>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</si>
  <si>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</si>
  <si>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</si>
  <si>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</si>
  <si>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</si>
  <si>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</si>
  <si>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</si>
  <si>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</si>
  <si>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</si>
  <si>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</si>
  <si>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</si>
  <si>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</si>
  <si>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</si>
  <si>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</si>
  <si>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</si>
  <si>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</si>
  <si>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</si>
  <si>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</si>
  <si>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</si>
  <si>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</si>
  <si>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</si>
  <si>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</si>
  <si>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</si>
  <si>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</si>
  <si>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</si>
  <si>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</si>
  <si>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</si>
  <si>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</si>
  <si>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</si>
  <si>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</si>
  <si>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</si>
  <si>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</si>
  <si>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</si>
  <si>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</si>
  <si>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</si>
  <si>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</si>
  <si>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</si>
  <si>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</si>
  <si>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</si>
  <si>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</si>
  <si>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</si>
  <si>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</si>
  <si>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</si>
  <si>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</si>
  <si>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</si>
  <si>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</si>
  <si>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</si>
  <si>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</si>
  <si>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</si>
  <si>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</si>
  <si>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</si>
  <si>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</si>
  <si>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</si>
  <si>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</si>
  <si>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</si>
  <si>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</si>
  <si>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</si>
  <si>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</si>
  <si>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</si>
  <si>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</si>
  <si>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</si>
  <si>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</si>
  <si>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</si>
  <si>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</si>
  <si>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</si>
  <si>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</si>
  <si>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</si>
  <si>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</si>
  <si>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</si>
  <si>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</si>
  <si>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</si>
  <si>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</si>
  <si>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</si>
  <si>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</si>
  <si>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</si>
  <si>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</si>
  <si>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</si>
  <si>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</si>
  <si>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</si>
  <si>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</si>
  <si>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</si>
  <si>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</si>
  <si>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</si>
  <si>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</si>
  <si>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</si>
  <si>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</si>
  <si>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</si>
  <si>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</si>
  <si>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</si>
  <si>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</si>
  <si>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</si>
  <si>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</si>
  <si>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</si>
  <si>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</si>
  <si>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</si>
  <si>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</si>
  <si>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</si>
  <si>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</si>
  <si>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</si>
  <si>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</si>
  <si>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</si>
  <si>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</si>
  <si>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</si>
  <si>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</si>
  <si>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</si>
  <si>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</si>
  <si>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</si>
  <si>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</si>
  <si>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</si>
  <si>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</si>
  <si>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</si>
  <si>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</si>
  <si>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</si>
  <si>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</si>
  <si>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</si>
  <si>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</si>
  <si>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</si>
  <si>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</si>
  <si>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</si>
  <si>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</si>
  <si>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</si>
  <si>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</si>
  <si>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</si>
  <si>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</si>
  <si>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</si>
  <si>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</si>
  <si>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</si>
  <si>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</si>
  <si>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</si>
  <si>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</si>
  <si>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</si>
  <si>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</si>
  <si>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</si>
  <si>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</si>
  <si>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</si>
  <si>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</si>
  <si>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</si>
  <si>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</si>
  <si>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</si>
  <si>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</si>
  <si>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</si>
  <si>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</si>
  <si>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</si>
  <si>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</si>
  <si>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</si>
  <si>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</si>
  <si>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</si>
  <si>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</si>
  <si>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</si>
  <si>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</si>
  <si>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</si>
  <si>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</si>
  <si>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</si>
  <si>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</si>
  <si>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</si>
  <si>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</si>
  <si>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</si>
  <si>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</si>
  <si>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</si>
  <si>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</si>
  <si>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</si>
  <si>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</si>
  <si>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</si>
  <si>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</si>
  <si>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</si>
  <si>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</si>
  <si>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</si>
  <si>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</si>
  <si>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</si>
  <si>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</si>
  <si>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</si>
  <si>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</si>
  <si>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</si>
  <si>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</si>
  <si>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</si>
  <si>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</si>
  <si>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</si>
  <si>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</si>
  <si>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</si>
  <si>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</si>
  <si>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</si>
  <si>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</si>
  <si>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</si>
  <si>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</si>
  <si>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</si>
  <si>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</si>
  <si>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</si>
  <si>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</si>
  <si>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</si>
  <si>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</si>
  <si>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</si>
  <si>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</si>
  <si>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</si>
  <si>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</si>
  <si>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</si>
  <si>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</si>
  <si>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</si>
  <si>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</si>
  <si>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</si>
  <si>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</si>
  <si>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</si>
  <si>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</si>
  <si>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</si>
  <si>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</si>
  <si>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</si>
  <si>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</si>
  <si>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</si>
  <si>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</si>
  <si>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</si>
  <si>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</si>
  <si>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</si>
  <si>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</si>
  <si>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</si>
  <si>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</si>
  <si>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</si>
  <si>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</si>
  <si>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</si>
  <si>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</si>
  <si>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</si>
  <si>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</si>
  <si>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</si>
  <si>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</si>
  <si>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</si>
  <si>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</si>
  <si>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</si>
  <si>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</si>
  <si>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</si>
  <si>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</si>
  <si>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</si>
  <si>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</si>
  <si>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</si>
  <si>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</si>
  <si>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</si>
  <si>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</si>
  <si>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</si>
  <si>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</si>
  <si>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</si>
  <si>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</si>
  <si>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</si>
  <si>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</si>
  <si>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</si>
  <si>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</si>
  <si>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</si>
  <si>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</si>
  <si>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</si>
  <si>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</si>
  <si>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</si>
  <si>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</si>
  <si>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</si>
  <si>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</si>
  <si>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</si>
  <si>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</si>
  <si>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</si>
  <si>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</si>
  <si>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</si>
  <si>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</si>
  <si>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</si>
  <si>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</si>
  <si>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</si>
  <si>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</si>
  <si>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</si>
  <si>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</si>
  <si>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</si>
  <si>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</si>
  <si>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</si>
  <si>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</si>
  <si>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</si>
  <si>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</si>
  <si>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</si>
  <si>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</si>
  <si>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</si>
  <si>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</si>
  <si>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</si>
  <si>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</si>
  <si>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</si>
  <si>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</si>
  <si>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</si>
  <si>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</si>
  <si>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</si>
  <si>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</si>
  <si>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</si>
  <si>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</si>
  <si>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</si>
  <si>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</si>
  <si>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</si>
  <si>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</si>
  <si>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</si>
  <si>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</si>
  <si>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</si>
  <si>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</si>
  <si>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</si>
  <si>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</si>
  <si>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</si>
  <si>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</si>
  <si>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</si>
  <si>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</si>
  <si>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</si>
  <si>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</si>
  <si>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</si>
  <si>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</si>
  <si>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</si>
  <si>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</si>
  <si>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</si>
  <si>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</si>
  <si>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</si>
  <si>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</si>
  <si>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</si>
  <si>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</si>
  <si>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</si>
  <si>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</si>
  <si>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</si>
  <si>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</si>
  <si>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</si>
  <si>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</si>
  <si>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</si>
  <si>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</si>
  <si>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</si>
  <si>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</si>
  <si>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</si>
  <si>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</si>
  <si>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</si>
  <si>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</si>
  <si>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</si>
  <si>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</si>
  <si>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</si>
  <si>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</si>
  <si>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</si>
  <si>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</si>
  <si>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</si>
  <si>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</si>
  <si>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</si>
  <si>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</si>
  <si>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</si>
  <si>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</si>
  <si>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</si>
  <si>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</si>
  <si>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</si>
  <si>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</si>
  <si>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</si>
  <si>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</si>
  <si>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</si>
  <si>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</si>
  <si>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</si>
  <si>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</si>
  <si>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</si>
  <si>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</si>
  <si>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</si>
  <si>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</si>
  <si>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</si>
  <si>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</si>
  <si>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</si>
  <si>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</si>
  <si>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</si>
  <si>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</si>
  <si>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</si>
  <si>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</si>
  <si>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</si>
  <si>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</si>
  <si>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</si>
  <si>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</si>
  <si>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</si>
  <si>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</si>
  <si>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</si>
  <si>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</si>
  <si>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</si>
  <si>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</si>
  <si>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</si>
  <si>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</si>
  <si>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</si>
  <si>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</si>
  <si>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</si>
  <si>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</si>
  <si>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</si>
  <si>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</si>
  <si>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</si>
  <si>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</si>
  <si>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</si>
  <si>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</si>
  <si>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</si>
  <si>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</si>
  <si>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</si>
  <si>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</si>
  <si>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</si>
  <si>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</si>
  <si>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</si>
  <si>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</si>
  <si>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</si>
  <si>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</si>
  <si>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</si>
  <si>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</si>
  <si>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</si>
  <si>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</si>
  <si>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</si>
  <si>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</si>
  <si>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</si>
  <si>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</si>
  <si>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</si>
  <si>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</si>
  <si>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</si>
  <si>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</si>
  <si>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</si>
  <si>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</si>
  <si>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</si>
  <si>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</si>
  <si>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</si>
  <si>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</si>
  <si>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</si>
  <si>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</si>
  <si>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</si>
  <si>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</si>
  <si>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</si>
  <si>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</si>
  <si>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</si>
  <si>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</si>
  <si>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</si>
  <si>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</si>
  <si>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</si>
  <si>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</si>
  <si>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</si>
  <si>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</si>
  <si>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</si>
  <si>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</si>
  <si>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</si>
  <si>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</si>
  <si>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</si>
  <si>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</si>
  <si>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</si>
  <si>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</si>
  <si>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</si>
  <si>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</si>
  <si>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</si>
  <si>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</si>
  <si>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</si>
  <si>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</si>
  <si>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</si>
  <si>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</si>
  <si>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</si>
  <si>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</si>
  <si>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</si>
  <si>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</si>
  <si>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</si>
  <si>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</si>
  <si>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</si>
  <si>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</si>
  <si>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</si>
  <si>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</si>
  <si>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</si>
  <si>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</si>
  <si>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</si>
  <si>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</si>
  <si>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</si>
  <si>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</si>
  <si>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</si>
  <si>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</si>
  <si>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</si>
  <si>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</si>
  <si>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</si>
  <si>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</si>
  <si>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</si>
  <si>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</si>
  <si>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</si>
  <si>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</si>
  <si>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</si>
  <si>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</si>
  <si>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</si>
  <si>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</si>
  <si>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</si>
  <si>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</si>
  <si>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</si>
  <si>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</si>
  <si>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</si>
  <si>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</si>
  <si>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</si>
  <si>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</si>
  <si>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</si>
  <si>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</si>
  <si>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</si>
  <si>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</si>
  <si>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</si>
  <si>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</si>
  <si>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</si>
  <si>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</si>
  <si>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</si>
  <si>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</si>
  <si>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</si>
  <si>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</si>
  <si>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</si>
  <si>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</si>
  <si>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</si>
  <si>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</si>
  <si>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</si>
  <si>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</si>
  <si>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</si>
  <si>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</si>
  <si>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</si>
  <si>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</si>
  <si>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</si>
  <si>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</si>
  <si>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</si>
  <si>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</si>
  <si>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</si>
  <si>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</si>
  <si>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</si>
  <si>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</si>
  <si>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</si>
  <si>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</si>
  <si>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</si>
  <si>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</si>
  <si>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</si>
  <si>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</si>
  <si>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</si>
  <si>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</si>
  <si>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</si>
  <si>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</si>
  <si>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</si>
  <si>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</si>
  <si>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</si>
  <si>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</si>
  <si>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</si>
  <si>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</si>
  <si>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</si>
  <si>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</si>
  <si>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</si>
  <si>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</si>
  <si>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</si>
  <si>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</si>
  <si>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</si>
  <si>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</si>
  <si>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</si>
  <si>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</si>
  <si>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</si>
  <si>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</si>
  <si>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</si>
  <si>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</si>
  <si>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</si>
  <si>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</si>
  <si>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</si>
  <si>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</si>
  <si>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</si>
  <si>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</si>
  <si>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</si>
  <si>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</si>
  <si>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</si>
  <si>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</si>
  <si>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</si>
  <si>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</si>
  <si>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</si>
  <si>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</si>
  <si>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</si>
  <si>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</si>
  <si>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</si>
  <si>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</si>
  <si>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</si>
  <si>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</si>
  <si>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</si>
  <si>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</si>
  <si>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</si>
  <si>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</si>
  <si>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</si>
  <si>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</si>
  <si>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</si>
  <si>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</si>
  <si>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</si>
  <si>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</si>
  <si>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</si>
  <si>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</si>
  <si>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</si>
  <si>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</si>
  <si>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</si>
  <si>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</si>
  <si>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</si>
  <si>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</si>
  <si>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</si>
  <si>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</si>
  <si>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</si>
  <si>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</si>
  <si>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</si>
  <si>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</si>
  <si>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</si>
  <si>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</si>
  <si>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</si>
  <si>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</si>
  <si>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</si>
  <si>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</si>
  <si>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</si>
  <si>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</si>
  <si>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</si>
  <si>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</si>
  <si>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</si>
  <si>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</si>
  <si>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</si>
  <si>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</si>
  <si>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</si>
  <si>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</si>
  <si>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</si>
  <si>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</si>
  <si>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</si>
  <si>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</si>
  <si>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</si>
  <si>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</si>
  <si>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</si>
  <si>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</si>
  <si>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</si>
  <si>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</si>
  <si>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</si>
  <si>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</si>
  <si>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</si>
  <si>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</si>
  <si>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</si>
  <si>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</si>
  <si>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</si>
  <si>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</si>
  <si>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</si>
  <si>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</si>
  <si>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</si>
  <si>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</si>
  <si>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</si>
  <si>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</si>
  <si>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</si>
  <si>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</si>
  <si>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</si>
  <si>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</si>
  <si>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</si>
  <si>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</si>
  <si>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</si>
  <si>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</si>
  <si>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</si>
  <si>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</si>
  <si>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</si>
  <si>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</si>
  <si>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</si>
  <si>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</si>
  <si>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</si>
  <si>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</si>
  <si>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</si>
  <si>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</si>
  <si>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</si>
  <si>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</si>
  <si>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</si>
  <si>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</si>
  <si>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</si>
  <si>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</si>
  <si>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</si>
  <si>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</si>
  <si>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</si>
  <si>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</si>
  <si>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</si>
  <si>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</si>
  <si>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</si>
  <si>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</si>
  <si>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</si>
  <si>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</si>
  <si>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</si>
  <si>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</si>
  <si>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</si>
  <si>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</si>
  <si>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</si>
  <si>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</si>
  <si>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</si>
  <si>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</si>
  <si>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</si>
  <si>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</si>
  <si>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</si>
  <si>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</si>
  <si>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</si>
  <si>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</si>
  <si>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</si>
  <si>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</si>
  <si>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</si>
  <si>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</si>
  <si>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</si>
  <si>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</si>
  <si>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</si>
  <si>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</si>
  <si>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</si>
  <si>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</si>
  <si>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</si>
  <si>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</si>
  <si>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</si>
  <si>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</si>
  <si>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</si>
  <si>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</si>
  <si>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</si>
  <si>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</si>
  <si>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</si>
  <si>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</si>
  <si>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</si>
  <si>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</si>
  <si>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</si>
  <si>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</si>
  <si>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</si>
  <si>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</si>
  <si>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</si>
  <si>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</si>
  <si>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</si>
  <si>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</si>
  <si>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</si>
  <si>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</si>
  <si>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</si>
  <si>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</si>
  <si>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</si>
  <si>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</si>
  <si>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</si>
  <si>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</si>
  <si>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</si>
  <si>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</si>
  <si>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</si>
  <si>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</si>
  <si>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</si>
  <si>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</si>
  <si>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</si>
  <si>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</si>
  <si>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</si>
  <si>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</si>
  <si>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</si>
  <si>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</si>
  <si>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</si>
  <si>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</si>
  <si>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</si>
  <si>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</si>
  <si>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</si>
  <si>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</si>
  <si>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</si>
  <si>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</si>
  <si>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</si>
  <si>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</si>
  <si>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</si>
  <si>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</si>
  <si>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</si>
  <si>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</si>
  <si>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</si>
  <si>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</si>
  <si>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</si>
  <si>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</si>
  <si>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</si>
  <si>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</si>
  <si>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</si>
  <si>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</si>
  <si>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</si>
  <si>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</si>
  <si>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</si>
  <si>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</si>
  <si>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</si>
  <si>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</si>
  <si>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</si>
  <si>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</si>
  <si>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</si>
  <si>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</si>
  <si>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</si>
  <si>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</si>
  <si>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</si>
  <si>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</si>
  <si>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</si>
  <si>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</si>
  <si>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</si>
  <si>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</si>
  <si>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</si>
  <si>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</si>
  <si>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</si>
  <si>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</si>
  <si>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</si>
  <si>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</si>
  <si>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</si>
  <si>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</si>
  <si>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</si>
  <si>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</si>
  <si>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</si>
  <si>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</si>
  <si>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</si>
  <si>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</si>
  <si>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</si>
  <si>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</si>
  <si>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</si>
  <si>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</si>
  <si>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</si>
  <si>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</si>
  <si>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</si>
  <si>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</si>
  <si>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</si>
  <si>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</si>
  <si>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</si>
  <si>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</si>
  <si>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</si>
  <si>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</si>
  <si>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</si>
  <si>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</si>
  <si>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</si>
  <si>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</si>
  <si>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</si>
  <si>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</si>
  <si>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</si>
  <si>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</si>
  <si>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</si>
  <si>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</si>
  <si>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</si>
  <si>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</si>
  <si>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</si>
  <si>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</si>
  <si>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</si>
  <si>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</si>
  <si>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</si>
  <si>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</si>
  <si>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</si>
  <si>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</si>
  <si>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</si>
  <si>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</si>
  <si>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</si>
  <si>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</si>
  <si>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</si>
  <si>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</si>
  <si>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</si>
  <si>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</si>
  <si>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</si>
  <si>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</si>
  <si>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</si>
  <si>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</si>
  <si>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</si>
  <si>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</si>
  <si>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</si>
  <si>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</si>
  <si>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</si>
  <si>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</si>
  <si>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</si>
  <si>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</si>
  <si>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</si>
  <si>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</si>
  <si>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</si>
  <si>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</si>
  <si>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</si>
  <si>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</si>
  <si>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</si>
  <si>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</si>
  <si>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</si>
  <si>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</si>
  <si>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</si>
  <si>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</si>
  <si>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</si>
  <si>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</si>
  <si>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</si>
  <si>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</si>
  <si>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</si>
  <si>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</si>
  <si>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</si>
  <si>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</si>
  <si>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</si>
  <si>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</si>
  <si>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</si>
  <si>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</si>
  <si>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</si>
  <si>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</si>
  <si>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</si>
  <si>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</si>
  <si>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</si>
  <si>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</si>
  <si>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</si>
  <si>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</si>
  <si>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</si>
  <si>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</si>
  <si>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</si>
  <si>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</si>
  <si>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</si>
  <si>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</si>
  <si>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</si>
  <si>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</si>
  <si>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</si>
  <si>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</si>
  <si>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</si>
  <si>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</si>
  <si>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</si>
  <si>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</si>
  <si>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</si>
  <si>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</si>
  <si>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</si>
  <si>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</si>
  <si>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</si>
  <si>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</si>
  <si>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</si>
  <si>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</si>
  <si>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</si>
  <si>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</si>
  <si>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</si>
  <si>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</si>
  <si>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</si>
  <si>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</si>
  <si>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</si>
  <si>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</si>
  <si>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</si>
  <si>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</si>
  <si>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</si>
  <si>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</si>
  <si>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</si>
  <si>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</si>
  <si>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</si>
  <si>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</si>
  <si>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</si>
  <si>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</si>
  <si>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</si>
  <si>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</si>
  <si>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</si>
  <si>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</si>
  <si>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</si>
  <si>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</si>
  <si>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</si>
  <si>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</si>
  <si>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</si>
  <si>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</si>
  <si>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</si>
  <si>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</si>
  <si>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</si>
  <si>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</si>
  <si>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</si>
  <si>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</si>
  <si>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</si>
  <si>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</si>
  <si>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</si>
  <si>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</si>
  <si>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</si>
  <si>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</si>
  <si>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</si>
  <si>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</si>
  <si>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</si>
  <si>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</si>
  <si>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</si>
  <si>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</si>
  <si>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</si>
  <si>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</si>
  <si>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</si>
  <si>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</si>
  <si>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</si>
  <si>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</si>
  <si>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</si>
  <si>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</si>
  <si>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</si>
  <si>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</si>
  <si>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</si>
  <si>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</si>
  <si>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</si>
  <si>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</si>
  <si>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</si>
  <si>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</si>
  <si>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</si>
  <si>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</si>
  <si>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</si>
  <si>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</si>
  <si>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</si>
  <si>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</si>
  <si>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</si>
  <si>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</si>
  <si>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</si>
  <si>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</si>
  <si>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</si>
  <si>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</si>
  <si>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</si>
  <si>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</si>
  <si>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</si>
  <si>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</si>
  <si>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</si>
  <si>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</si>
  <si>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</si>
  <si>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</si>
  <si>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</si>
  <si>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</si>
  <si>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</si>
  <si>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</si>
  <si>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</si>
  <si>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</si>
  <si>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</si>
  <si>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</si>
  <si>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</si>
  <si>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</si>
  <si>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</si>
  <si>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</si>
  <si>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</si>
  <si>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</si>
  <si>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</si>
  <si>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</si>
  <si>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</si>
  <si>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</si>
  <si>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</si>
  <si>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</si>
  <si>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</si>
  <si>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</si>
  <si>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</si>
  <si>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</si>
  <si>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</si>
  <si>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</si>
  <si>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</si>
  <si>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</si>
  <si>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</si>
  <si>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</si>
  <si>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</si>
  <si>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</si>
  <si>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</si>
  <si>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</si>
  <si>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</si>
  <si>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</si>
  <si>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</si>
  <si>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</si>
  <si>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</si>
  <si>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</si>
  <si>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</si>
  <si>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</si>
  <si>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</si>
  <si>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</si>
  <si>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</si>
  <si>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</si>
  <si>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</si>
  <si>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</si>
  <si>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</si>
  <si>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</si>
  <si>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</si>
  <si>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</si>
  <si>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</si>
  <si>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</si>
  <si>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</si>
  <si>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</si>
  <si>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</si>
  <si>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</si>
  <si>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</si>
  <si>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</si>
  <si>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</si>
  <si>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</si>
  <si>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</si>
  <si>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</si>
  <si>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</si>
  <si>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</si>
  <si>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</si>
  <si>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</si>
  <si>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</si>
  <si>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</si>
  <si>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</si>
  <si>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</si>
  <si>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</si>
  <si>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</si>
  <si>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</si>
  <si>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</si>
  <si>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</si>
  <si>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</si>
  <si>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</si>
  <si>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</si>
  <si>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</si>
  <si>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</si>
  <si>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</si>
  <si>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</si>
  <si>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</si>
  <si>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</si>
  <si>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</si>
  <si>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</si>
  <si>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</si>
  <si>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</si>
  <si>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</si>
  <si>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</si>
  <si>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</si>
  <si>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</si>
  <si>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</si>
  <si>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</si>
  <si>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</si>
  <si>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</si>
  <si>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</si>
  <si>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</si>
  <si>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</si>
  <si>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</si>
  <si>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</si>
  <si>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</si>
  <si>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</si>
  <si>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</si>
  <si>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</si>
  <si>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</si>
  <si>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</si>
  <si>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</si>
  <si>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</si>
  <si>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</si>
  <si>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</si>
  <si>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</si>
  <si>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</si>
  <si>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</si>
  <si>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</si>
  <si>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</si>
  <si>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</si>
  <si>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</si>
  <si>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</si>
  <si>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</si>
  <si>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</si>
  <si>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</si>
  <si>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</si>
  <si>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</si>
  <si>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</si>
  <si>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</si>
  <si>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</si>
  <si>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</si>
  <si>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</si>
  <si>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</si>
  <si>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</si>
  <si>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</si>
  <si>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</si>
  <si>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</si>
  <si>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</si>
  <si>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</si>
  <si>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</si>
  <si>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</si>
  <si>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</si>
  <si>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</si>
  <si>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</si>
  <si>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</si>
  <si>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</si>
  <si>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</si>
  <si>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</si>
  <si>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</si>
  <si>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</si>
  <si>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</si>
  <si>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</si>
  <si>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</si>
  <si>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</si>
  <si>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</si>
  <si>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</si>
  <si>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</si>
  <si>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</si>
  <si>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</si>
  <si>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</si>
  <si>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</si>
  <si>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</si>
  <si>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</si>
  <si>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</si>
  <si>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</si>
  <si>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</si>
  <si>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</si>
  <si>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</si>
  <si>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</si>
  <si>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</si>
  <si>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</si>
  <si>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</si>
  <si>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</si>
  <si>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</si>
  <si>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</si>
  <si>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</si>
  <si>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</si>
  <si>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</si>
  <si>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</si>
  <si>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</si>
  <si>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</si>
  <si>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</si>
  <si>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</si>
  <si>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</si>
  <si>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</si>
  <si>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</si>
  <si>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</si>
  <si>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</si>
  <si>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</si>
  <si>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</si>
  <si>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</si>
  <si>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</si>
  <si>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</si>
  <si>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</si>
  <si>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</si>
  <si>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</si>
  <si>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</si>
  <si>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</si>
  <si>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</si>
  <si>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</si>
  <si>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</si>
  <si>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</si>
  <si>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</si>
  <si>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</si>
  <si>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</si>
  <si>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</si>
  <si>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</si>
  <si>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</si>
  <si>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</si>
  <si>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</si>
  <si>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</si>
  <si>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</si>
  <si>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</si>
  <si>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</si>
  <si>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</si>
  <si>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</si>
  <si>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</si>
  <si>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</si>
  <si>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</si>
  <si>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</si>
  <si>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</si>
  <si>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</si>
  <si>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</si>
  <si>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</si>
  <si>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</si>
  <si>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</si>
  <si>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</si>
  <si>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</si>
  <si>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</si>
  <si>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</si>
  <si>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</si>
  <si>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</si>
  <si>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</si>
  <si>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</si>
  <si>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</si>
  <si>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</si>
  <si>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</si>
  <si>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</si>
  <si>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</si>
  <si>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</si>
  <si>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</si>
  <si>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</si>
  <si>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</si>
  <si>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</si>
  <si>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</si>
  <si>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</si>
  <si>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</si>
  <si>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</si>
  <si>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</si>
  <si>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</si>
  <si>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</si>
  <si>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</si>
  <si>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</si>
  <si>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</si>
  <si>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</si>
  <si>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</si>
  <si>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</si>
  <si>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</si>
  <si>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</si>
  <si>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</si>
  <si>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</si>
  <si>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</si>
  <si>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</si>
  <si>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</si>
  <si>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</si>
  <si>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</si>
  <si>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</si>
  <si>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</si>
  <si>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</si>
  <si>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</si>
  <si>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</si>
  <si>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</si>
  <si>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</si>
  <si>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</si>
  <si>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</si>
  <si>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</si>
  <si>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</si>
  <si>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</si>
  <si>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</si>
  <si>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</si>
  <si>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</si>
  <si>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</si>
  <si>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</si>
  <si>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</si>
  <si>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</si>
  <si>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</si>
  <si>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</si>
  <si>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</si>
  <si>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</si>
  <si>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</si>
  <si>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</si>
  <si>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</si>
  <si>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</si>
  <si>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</si>
  <si>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</si>
  <si>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</si>
  <si>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</si>
  <si>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</si>
  <si>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</si>
  <si>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</si>
  <si>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</si>
  <si>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</si>
  <si>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</si>
  <si>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</si>
  <si>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</si>
  <si>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</si>
  <si>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</si>
  <si>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</si>
  <si>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</si>
  <si>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</si>
  <si>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</si>
  <si>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</si>
  <si>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</si>
  <si>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</si>
  <si>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</si>
  <si>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</si>
  <si>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</si>
  <si>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</si>
  <si>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</si>
  <si>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</si>
  <si>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</si>
  <si>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</si>
  <si>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</si>
  <si>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</si>
  <si>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</si>
  <si>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</si>
  <si>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</si>
  <si>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</si>
  <si>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</si>
  <si>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</si>
  <si>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</si>
  <si>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</si>
  <si>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</si>
  <si>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</si>
  <si>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</si>
  <si>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</si>
  <si>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</si>
  <si>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</si>
  <si>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</si>
  <si>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</si>
  <si>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</si>
  <si>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</si>
  <si>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</si>
  <si>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</si>
  <si>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</si>
  <si>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</si>
  <si>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</si>
  <si>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</si>
  <si>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</si>
  <si>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</si>
  <si>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</si>
  <si>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</si>
  <si>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</si>
  <si>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</si>
  <si>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</si>
  <si>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</si>
  <si>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</si>
  <si>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</si>
  <si>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</si>
  <si>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</si>
  <si>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</si>
  <si>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</si>
  <si>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</si>
  <si>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</si>
  <si>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</si>
  <si>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</si>
  <si>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</si>
  <si>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</si>
  <si>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</si>
  <si>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</si>
  <si>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</si>
  <si>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</si>
  <si>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</si>
  <si>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</si>
  <si>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</si>
  <si>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</si>
  <si>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</si>
  <si>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</si>
  <si>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</si>
  <si>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</si>
  <si>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</si>
  <si>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</si>
  <si>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</si>
  <si>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</si>
  <si>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</si>
  <si>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</si>
  <si>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</si>
  <si>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</si>
  <si>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</si>
  <si>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</si>
  <si>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</si>
  <si>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</si>
  <si>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</si>
  <si>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</si>
  <si>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</si>
  <si>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</si>
  <si>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</si>
  <si>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</si>
  <si>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</si>
  <si>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</si>
  <si>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</si>
  <si>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</si>
  <si>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</si>
  <si>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</si>
  <si>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</si>
  <si>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</si>
  <si>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</si>
  <si>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</si>
  <si>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</si>
  <si>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</si>
  <si>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</si>
  <si>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</si>
  <si>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</si>
  <si>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</si>
  <si>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</si>
  <si>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</si>
  <si>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</si>
  <si>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</si>
  <si>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</si>
  <si>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</si>
  <si>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</si>
  <si>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</si>
  <si>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</si>
  <si>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</si>
  <si>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</si>
  <si>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</si>
  <si>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</si>
  <si>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</si>
  <si>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</si>
  <si>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</si>
  <si>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</si>
  <si>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</si>
  <si>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</si>
  <si>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</si>
  <si>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</si>
  <si>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</si>
  <si>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</si>
  <si>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</si>
  <si>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</si>
  <si>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</si>
  <si>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</si>
  <si>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</si>
  <si>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</si>
  <si>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</si>
  <si>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</si>
  <si>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</si>
  <si>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</si>
  <si>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</si>
  <si>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</si>
  <si>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</si>
  <si>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</si>
  <si>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</si>
  <si>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</si>
  <si>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</si>
  <si>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</si>
  <si>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</si>
  <si>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</si>
  <si>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</si>
  <si>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</si>
  <si>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</si>
  <si>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</si>
  <si>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</si>
  <si>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</si>
  <si>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</si>
  <si>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</si>
  <si>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</si>
  <si>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</si>
  <si>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</si>
  <si>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</si>
  <si>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</si>
  <si>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</si>
  <si>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</si>
  <si>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</si>
  <si>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</si>
  <si>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</si>
  <si>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</si>
  <si>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</si>
  <si>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</si>
  <si>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</si>
  <si>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</si>
  <si>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</si>
  <si>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</si>
  <si>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</si>
  <si>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</si>
  <si>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</si>
  <si>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</si>
  <si>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</si>
  <si>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</si>
  <si>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</si>
  <si>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</si>
  <si>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</si>
  <si>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</si>
  <si>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</si>
  <si>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</si>
  <si>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</si>
  <si>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</si>
  <si>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</si>
  <si>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</si>
  <si>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</si>
  <si>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</si>
  <si>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</si>
  <si>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</si>
  <si>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</si>
  <si>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</si>
  <si>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</si>
  <si>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</si>
  <si>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</si>
  <si>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</si>
  <si>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</si>
  <si>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</si>
  <si>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</si>
  <si>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</si>
  <si>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</si>
  <si>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</si>
  <si>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</si>
  <si>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</si>
  <si>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</si>
  <si>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</si>
  <si>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</si>
  <si>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</si>
  <si>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</si>
  <si>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</si>
  <si>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</si>
  <si>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</si>
  <si>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</si>
  <si>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</si>
  <si>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</si>
  <si>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</si>
  <si>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</si>
  <si>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</si>
  <si>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</si>
  <si>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</si>
  <si>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</si>
  <si>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</si>
  <si>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</si>
  <si>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</si>
  <si>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</si>
  <si>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</si>
  <si>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</si>
  <si>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</si>
  <si>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</si>
  <si>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</si>
  <si>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</si>
  <si>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</si>
  <si>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</si>
  <si>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</si>
  <si>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</si>
  <si>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</si>
  <si>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</si>
  <si>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</si>
  <si>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</si>
  <si>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</si>
  <si>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</si>
  <si>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</si>
  <si>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</si>
  <si>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</si>
  <si>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</si>
  <si>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</si>
  <si>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</si>
  <si>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</si>
  <si>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</si>
  <si>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</si>
  <si>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</si>
  <si>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</si>
  <si>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</si>
  <si>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</si>
  <si>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</si>
  <si>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</si>
  <si>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</si>
  <si>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</si>
  <si>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</si>
  <si>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</si>
  <si>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</si>
  <si>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</si>
  <si>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</si>
  <si>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</si>
  <si>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</si>
  <si>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</si>
  <si>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</si>
  <si>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</si>
  <si>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</si>
  <si>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</si>
  <si>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</si>
  <si>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</si>
  <si>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</si>
  <si>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</si>
  <si>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</si>
  <si>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</si>
  <si>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</si>
  <si>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</si>
  <si>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</si>
  <si>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</si>
  <si>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</si>
  <si>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</si>
  <si>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</si>
  <si>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</si>
  <si>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</si>
  <si>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</si>
  <si>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</si>
  <si>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</si>
  <si>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</si>
  <si>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</si>
  <si>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</si>
  <si>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</si>
  <si>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</si>
  <si>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</si>
  <si>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</si>
  <si>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</si>
  <si>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</si>
  <si>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</si>
  <si>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</si>
  <si>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</si>
  <si>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</si>
  <si>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</si>
  <si>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</si>
  <si>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</si>
  <si>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</si>
  <si>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</si>
  <si>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</si>
  <si>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</si>
  <si>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</si>
  <si>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</si>
  <si>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</si>
  <si>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</si>
  <si>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</si>
  <si>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</si>
  <si>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</si>
  <si>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</si>
  <si>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</si>
  <si>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</si>
  <si>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</si>
  <si>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</si>
  <si>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</si>
  <si>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</si>
  <si>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</si>
  <si>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</si>
  <si>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</si>
  <si>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</si>
  <si>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</si>
  <si>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</si>
  <si>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</si>
  <si>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</si>
  <si>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</si>
  <si>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</si>
  <si>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</si>
  <si>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</si>
  <si>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</si>
  <si>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</si>
  <si>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</si>
  <si>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</si>
  <si>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</si>
  <si>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</si>
  <si>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</si>
  <si>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</si>
  <si>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</si>
  <si>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</si>
  <si>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</si>
  <si>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</si>
  <si>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</si>
  <si>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</si>
  <si>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</si>
  <si>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</si>
  <si>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</si>
  <si>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</si>
  <si>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</si>
  <si>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</si>
  <si>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</si>
  <si>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</si>
  <si>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</si>
  <si>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</si>
  <si>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</si>
  <si>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</si>
  <si>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</si>
  <si>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</si>
  <si>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</si>
  <si>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</si>
  <si>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</si>
  <si>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</si>
  <si>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</si>
  <si>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</si>
  <si>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</si>
  <si>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</si>
  <si>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</si>
  <si>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</si>
  <si>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</si>
  <si>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</si>
  <si>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</si>
  <si>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</si>
  <si>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</si>
  <si>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</si>
  <si>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</si>
  <si>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</si>
  <si>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</si>
  <si>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</si>
  <si>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</si>
  <si>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</si>
  <si>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</si>
  <si>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</si>
  <si>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</si>
  <si>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</si>
  <si>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</si>
  <si>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</si>
  <si>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</si>
  <si>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</si>
  <si>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</si>
  <si>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</si>
  <si>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</si>
  <si>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</si>
  <si>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</si>
  <si>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</si>
  <si>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</si>
  <si>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</si>
  <si>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</si>
  <si>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</si>
  <si>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</si>
  <si>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</si>
  <si>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</si>
  <si>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</si>
  <si>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</si>
  <si>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</si>
  <si>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</si>
  <si>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</si>
  <si>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</si>
  <si>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</si>
  <si>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</si>
  <si>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</si>
  <si>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</si>
  <si>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</si>
  <si>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</si>
  <si>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</si>
  <si>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</si>
  <si>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</si>
  <si>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</si>
  <si>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</si>
  <si>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</si>
  <si>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</si>
  <si>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</si>
  <si>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</si>
  <si>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</si>
  <si>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</si>
  <si>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</si>
  <si>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</si>
  <si>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</si>
  <si>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</si>
  <si>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</si>
  <si>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</si>
  <si>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</si>
  <si>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</si>
  <si>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</si>
  <si>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</si>
  <si>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</si>
  <si>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</si>
  <si>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</si>
  <si>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</si>
  <si>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</si>
  <si>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</si>
  <si>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</si>
  <si>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</si>
  <si>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</si>
  <si>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</si>
  <si>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</si>
  <si>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</si>
  <si>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</si>
  <si>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</si>
  <si>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</si>
  <si>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</si>
  <si>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</si>
  <si>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</si>
  <si>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</si>
  <si>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</si>
  <si>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</si>
  <si>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</si>
  <si>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</si>
  <si>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</si>
  <si>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</si>
  <si>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</si>
  <si>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</si>
  <si>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</si>
  <si>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</si>
  <si>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</si>
  <si>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</si>
  <si>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</si>
  <si>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</si>
  <si>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</si>
  <si>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</si>
  <si>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</si>
  <si>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</si>
  <si>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</si>
  <si>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</si>
  <si>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</si>
  <si>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</si>
  <si>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</si>
  <si>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</si>
  <si>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</si>
  <si>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</si>
  <si>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</si>
  <si>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</si>
  <si>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</si>
  <si>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</si>
  <si>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</si>
  <si>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</si>
  <si>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</si>
  <si>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</si>
  <si>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</si>
  <si>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</si>
  <si>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</si>
  <si>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</si>
  <si>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</si>
  <si>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</si>
  <si>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</si>
  <si>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</si>
  <si>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</si>
  <si>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</si>
  <si>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</si>
  <si>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</si>
  <si>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</si>
  <si>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</si>
  <si>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</si>
  <si>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</si>
  <si>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</si>
  <si>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</si>
  <si>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</si>
  <si>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</si>
  <si>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</si>
  <si>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</si>
  <si>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</si>
  <si>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</si>
  <si>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</si>
  <si>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</si>
  <si>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</si>
  <si>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</si>
  <si>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</si>
  <si>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</si>
  <si>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</si>
  <si>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</si>
  <si>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</si>
  <si>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</si>
  <si>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</si>
  <si>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</si>
  <si>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</si>
  <si>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</si>
  <si>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</si>
  <si>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</si>
  <si>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</si>
  <si>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</si>
  <si>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</si>
  <si>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</si>
  <si>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</si>
  <si>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</si>
  <si>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</si>
  <si>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</si>
  <si>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</si>
  <si>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</si>
  <si>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</si>
  <si>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</si>
  <si>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</si>
  <si>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</si>
  <si>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</si>
  <si>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</si>
  <si>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</si>
  <si>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</si>
  <si>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</si>
  <si>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</si>
  <si>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</si>
  <si>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</si>
  <si>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</si>
  <si>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</si>
  <si>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</si>
  <si>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</si>
  <si>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</si>
  <si>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</si>
  <si>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</si>
  <si>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</si>
  <si>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</si>
  <si>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</si>
  <si>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</si>
  <si>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</si>
  <si>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</si>
  <si>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</si>
  <si>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</si>
  <si>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</si>
  <si>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</si>
  <si>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</si>
  <si>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</si>
  <si>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</si>
  <si>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</si>
  <si>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</si>
  <si>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</si>
  <si>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</si>
  <si>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</si>
  <si>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</si>
  <si>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</si>
  <si>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</si>
  <si>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</si>
  <si>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</si>
  <si>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</si>
  <si>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</si>
  <si>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</si>
  <si>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</si>
  <si>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</si>
  <si>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</si>
  <si>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</si>
  <si>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</si>
  <si>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</si>
  <si>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</si>
  <si>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</si>
  <si>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</si>
  <si>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</si>
  <si>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</si>
  <si>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</si>
  <si>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</si>
  <si>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</si>
  <si>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</si>
  <si>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</si>
  <si>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</si>
  <si>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</si>
  <si>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</si>
  <si>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</si>
  <si>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</si>
  <si>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</si>
  <si>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</si>
  <si>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</si>
  <si>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</si>
  <si>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</si>
  <si>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</si>
  <si>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</si>
  <si>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</si>
  <si>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</si>
  <si>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</si>
  <si>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</si>
  <si>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</si>
  <si>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</si>
  <si>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</si>
  <si>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</si>
  <si>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</si>
  <si>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</si>
  <si>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</si>
  <si>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</si>
  <si>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</si>
  <si>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</si>
  <si>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</si>
  <si>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</si>
  <si>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</si>
  <si>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</si>
  <si>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</si>
  <si>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</si>
  <si>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</si>
  <si>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</si>
  <si>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</si>
  <si>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</si>
  <si>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</si>
  <si>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</si>
  <si>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</si>
  <si>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</si>
  <si>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</si>
  <si>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</si>
  <si>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</si>
  <si>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</si>
  <si>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</si>
  <si>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</si>
  <si>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</si>
  <si>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</si>
  <si>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</si>
  <si>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</si>
  <si>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</si>
  <si>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</si>
  <si>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</si>
  <si>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</si>
  <si>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</si>
  <si>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</si>
  <si>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</si>
  <si>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</si>
  <si>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</si>
  <si>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</si>
  <si>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</si>
  <si>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</si>
  <si>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</si>
  <si>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</si>
  <si>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</si>
  <si>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</si>
  <si>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</si>
  <si>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</si>
  <si>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</si>
  <si>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</si>
  <si>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</si>
  <si>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</si>
  <si>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</si>
  <si>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</si>
  <si>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</si>
  <si>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</si>
  <si>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</si>
  <si>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</si>
  <si>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</si>
  <si>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</si>
  <si>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</si>
  <si>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</si>
  <si>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</si>
  <si>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</si>
  <si>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</si>
  <si>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</si>
  <si>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</si>
  <si>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</si>
  <si>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</si>
  <si>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</si>
  <si>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</si>
  <si>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</si>
  <si>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</si>
  <si>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</si>
  <si>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</si>
  <si>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</si>
  <si>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</si>
  <si>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</si>
  <si>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</si>
  <si>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</si>
  <si>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</si>
  <si>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</si>
  <si>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</si>
  <si>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</si>
  <si>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</si>
  <si>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</si>
  <si>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</si>
  <si>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</si>
  <si>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</si>
  <si>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</si>
  <si>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</si>
  <si>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</si>
  <si>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</si>
  <si>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</si>
  <si>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</si>
  <si>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</si>
  <si>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</si>
  <si>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</si>
  <si>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</si>
  <si>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</si>
  <si>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</si>
  <si>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</si>
  <si>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</si>
  <si>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</si>
  <si>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</si>
  <si>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</si>
  <si>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</si>
  <si>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</si>
  <si>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</si>
  <si>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</si>
  <si>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</si>
  <si>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</si>
  <si>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</si>
  <si>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</si>
  <si>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</si>
  <si>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</si>
  <si>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</si>
  <si>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</si>
  <si>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</si>
  <si>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</si>
  <si>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</si>
  <si>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</si>
  <si>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</si>
  <si>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</si>
  <si>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</si>
  <si>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</si>
  <si>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</si>
  <si>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</si>
  <si>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</si>
  <si>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</si>
  <si>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</si>
  <si>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</si>
  <si>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</si>
  <si>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</si>
  <si>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</si>
  <si>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</si>
  <si>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</si>
  <si>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</si>
  <si>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</si>
  <si>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</si>
  <si>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</si>
  <si>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</si>
  <si>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</si>
  <si>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</si>
  <si>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</si>
  <si>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</si>
  <si>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</si>
  <si>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</si>
  <si>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</si>
  <si>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</si>
  <si>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</si>
  <si>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</si>
  <si>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</si>
  <si>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</si>
  <si>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</si>
  <si>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</si>
  <si>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</si>
  <si>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</si>
  <si>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</si>
  <si>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</si>
  <si>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</si>
  <si>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</si>
  <si>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</si>
  <si>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</si>
  <si>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</si>
  <si>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</si>
  <si>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</si>
  <si>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</si>
  <si>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</si>
  <si>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</si>
  <si>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</si>
  <si>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</si>
  <si>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</si>
  <si>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</si>
  <si>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</si>
  <si>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</si>
  <si>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</si>
  <si>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</si>
  <si>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</si>
  <si>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</si>
  <si>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</si>
  <si>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</si>
  <si>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</si>
  <si>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</si>
  <si>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</si>
  <si>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</si>
  <si>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</si>
  <si>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</si>
  <si>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</si>
  <si>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</si>
  <si>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</si>
  <si>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</si>
  <si>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</si>
  <si>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</si>
  <si>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</si>
  <si>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</si>
  <si>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</si>
  <si>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</si>
  <si>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</si>
  <si>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</si>
  <si>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</si>
  <si>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</si>
  <si>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</si>
  <si>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</si>
  <si>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</si>
  <si>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</si>
  <si>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</si>
  <si>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</si>
  <si>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</si>
  <si>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</si>
  <si>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</si>
  <si>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</si>
  <si>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</si>
  <si>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</si>
  <si>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</si>
  <si>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</si>
  <si>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</si>
  <si>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</si>
  <si>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</si>
  <si>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</si>
  <si>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</si>
  <si>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</si>
  <si>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</si>
  <si>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</si>
  <si>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</si>
  <si>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</si>
  <si>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</si>
  <si>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</si>
  <si>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</si>
  <si>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</si>
  <si>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</si>
  <si>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</si>
  <si>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</si>
  <si>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</si>
  <si>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</si>
  <si>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</si>
  <si>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</si>
  <si>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</si>
  <si>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</si>
  <si>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</si>
  <si>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</si>
  <si>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</si>
  <si>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</si>
  <si>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</si>
  <si>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</si>
  <si>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</si>
  <si>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</si>
  <si>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</si>
  <si>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</si>
  <si>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</si>
  <si>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</si>
  <si>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</si>
  <si>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</si>
  <si>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</si>
  <si>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</si>
  <si>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</si>
  <si>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</si>
  <si>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</si>
  <si>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</si>
  <si>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</si>
  <si>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</si>
  <si>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</si>
  <si>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</si>
  <si>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</si>
  <si>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</si>
  <si>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</si>
  <si>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</si>
  <si>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</si>
  <si>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</si>
  <si>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</si>
  <si>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</si>
  <si>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</si>
  <si>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</si>
  <si>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</si>
  <si>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</si>
  <si>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</si>
  <si>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</si>
  <si>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</si>
  <si>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</si>
  <si>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</si>
  <si>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</si>
  <si>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</si>
  <si>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</si>
  <si>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</si>
  <si>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</si>
  <si>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</si>
  <si>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</si>
  <si>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</si>
  <si>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</si>
  <si>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</si>
  <si>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</si>
  <si>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</si>
  <si>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</si>
  <si>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</si>
  <si>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</si>
  <si>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</si>
  <si>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</si>
  <si>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</si>
  <si>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</si>
  <si>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</si>
  <si>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</si>
  <si>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</si>
  <si>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</si>
  <si>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</si>
  <si>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</si>
  <si>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</si>
  <si>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</si>
  <si>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</si>
  <si>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</si>
  <si>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</si>
  <si>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</si>
  <si>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</si>
  <si>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</si>
  <si>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</si>
  <si>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</si>
  <si>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</si>
  <si>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</si>
  <si>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</si>
  <si>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</si>
  <si>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</si>
  <si>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</si>
  <si>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</si>
  <si>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</si>
  <si>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</si>
  <si>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</si>
  <si>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</si>
  <si>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</si>
  <si>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</si>
  <si>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</si>
  <si>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</si>
  <si>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</si>
  <si>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</si>
  <si>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</si>
  <si>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</si>
  <si>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</si>
  <si>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</si>
  <si>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</si>
  <si>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</si>
  <si>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</si>
  <si>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</si>
  <si>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</si>
  <si>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</si>
  <si>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</si>
  <si>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</si>
  <si>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</si>
  <si>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</si>
  <si>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</si>
  <si>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</si>
  <si>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</si>
  <si>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</si>
  <si>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</si>
  <si>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</si>
  <si>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</si>
  <si>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</si>
  <si>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</si>
  <si>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</si>
  <si>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</si>
  <si>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</si>
  <si>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</si>
  <si>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</si>
  <si>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</si>
  <si>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</si>
  <si>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</si>
  <si>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</si>
  <si>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</si>
  <si>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</si>
  <si>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</si>
  <si>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</si>
  <si>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</si>
  <si>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</si>
  <si>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</si>
  <si>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</si>
  <si>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</si>
  <si>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</si>
  <si>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</si>
  <si>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</si>
  <si>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</si>
  <si>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</si>
  <si>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</si>
  <si>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</si>
  <si>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</si>
  <si>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</si>
  <si>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</si>
  <si>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</si>
  <si>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</si>
  <si>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</si>
  <si>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</si>
  <si>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</si>
  <si>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</si>
  <si>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</si>
  <si>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</si>
  <si>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</si>
  <si>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</si>
  <si>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</si>
  <si>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</si>
  <si>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</si>
  <si>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</si>
  <si>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</si>
  <si>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</si>
  <si>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</si>
  <si>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</si>
  <si>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</si>
  <si>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</si>
  <si>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</si>
  <si>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</si>
  <si>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</si>
  <si>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</si>
  <si>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</si>
  <si>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</si>
  <si>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</si>
  <si>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</si>
  <si>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</si>
  <si>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</si>
  <si>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</si>
  <si>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</si>
  <si>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</si>
  <si>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</si>
  <si>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</si>
  <si>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</si>
  <si>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</si>
  <si>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</si>
  <si>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</si>
  <si>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</si>
  <si>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</si>
  <si>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</si>
  <si>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</si>
  <si>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</si>
  <si>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</si>
  <si>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</si>
  <si>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</si>
  <si>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</si>
  <si>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</si>
  <si>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</si>
  <si>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</si>
  <si>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</si>
  <si>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</si>
  <si>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</si>
  <si>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</si>
  <si>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</si>
  <si>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</si>
  <si>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</si>
  <si>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</si>
  <si>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</si>
  <si>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</si>
  <si>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</si>
  <si>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</si>
  <si>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</si>
  <si>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</si>
  <si>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</si>
  <si>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</si>
  <si>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</si>
  <si>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</si>
  <si>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</si>
  <si>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</si>
  <si>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</si>
  <si>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</si>
  <si>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</si>
  <si>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</si>
  <si>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</si>
  <si>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</si>
  <si>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</si>
  <si>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</si>
  <si>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</si>
  <si>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</si>
  <si>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</si>
  <si>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</si>
  <si>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</si>
  <si>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</si>
  <si>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</si>
  <si>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</si>
  <si>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</si>
  <si>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</si>
  <si>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</si>
  <si>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</si>
  <si>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</si>
  <si>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</si>
  <si>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</si>
  <si>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</si>
  <si>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</si>
  <si>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</si>
  <si>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</si>
  <si>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</si>
  <si>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</si>
  <si>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</si>
  <si>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</si>
  <si>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</si>
  <si>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</si>
  <si>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</si>
  <si>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</si>
  <si>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</si>
  <si>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</si>
  <si>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</si>
  <si>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</si>
  <si>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</si>
  <si>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</si>
  <si>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</si>
  <si>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</si>
  <si>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</si>
  <si>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</si>
  <si>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</si>
  <si>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</si>
  <si>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</si>
  <si>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</si>
  <si>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</si>
  <si>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</si>
  <si>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</si>
  <si>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</si>
  <si>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</si>
  <si>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</si>
  <si>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</si>
  <si>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</si>
  <si>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</si>
  <si>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</si>
  <si>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</si>
  <si>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</si>
  <si>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</si>
  <si>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</si>
  <si>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</si>
  <si>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</si>
  <si>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</si>
  <si>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</si>
  <si>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</si>
  <si>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</si>
  <si>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</si>
  <si>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</si>
  <si>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</si>
  <si>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</si>
  <si>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</si>
  <si>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</si>
  <si>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</si>
  <si>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</si>
  <si>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</si>
  <si>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</si>
  <si>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</si>
  <si>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</si>
  <si>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</si>
  <si>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</si>
  <si>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</si>
  <si>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</si>
  <si>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</si>
  <si>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</si>
  <si>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</si>
  <si>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</si>
  <si>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</si>
  <si>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</si>
  <si>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</si>
  <si>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</si>
  <si>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</si>
  <si>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</si>
  <si>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</si>
  <si>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</si>
  <si>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</si>
  <si>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</si>
  <si>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</si>
  <si>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</si>
  <si>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</si>
  <si>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</si>
  <si>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</si>
  <si>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</si>
  <si>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</si>
  <si>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</si>
  <si>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</si>
  <si>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</si>
  <si>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</si>
  <si>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</si>
  <si>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</si>
  <si>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</si>
  <si>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</si>
  <si>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</si>
  <si>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</si>
  <si>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</si>
  <si>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</si>
  <si>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</si>
  <si>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</si>
  <si>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</si>
  <si>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</si>
  <si>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</si>
  <si>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</si>
  <si>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</si>
  <si>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</si>
  <si>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</si>
  <si>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</si>
  <si>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</si>
  <si>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</si>
  <si>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</si>
  <si>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</si>
  <si>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</si>
  <si>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</si>
  <si>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</si>
  <si>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</si>
  <si>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</si>
  <si>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</si>
  <si>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</si>
  <si>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</si>
  <si>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</si>
  <si>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</si>
  <si>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</si>
  <si>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</si>
  <si>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</si>
  <si>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</si>
  <si>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</si>
  <si>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</si>
  <si>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</si>
  <si>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</si>
  <si>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</si>
  <si>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</si>
  <si>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</si>
  <si>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</si>
  <si>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</si>
  <si>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</si>
  <si>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</si>
  <si>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</si>
  <si>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</si>
  <si>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</si>
  <si>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</si>
  <si>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</si>
  <si>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</si>
  <si>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</si>
  <si>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</si>
  <si>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</si>
  <si>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</si>
  <si>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</si>
  <si>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</si>
  <si>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</si>
  <si>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</si>
  <si>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</si>
  <si>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</si>
  <si>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</si>
  <si>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</si>
  <si>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</si>
  <si>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</si>
  <si>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</si>
  <si>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</si>
  <si>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</si>
  <si>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</si>
  <si>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</si>
  <si>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</si>
  <si>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</si>
  <si>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</si>
  <si>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</si>
  <si>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</si>
  <si>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</si>
  <si>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</si>
  <si>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</si>
  <si>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</si>
  <si>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</si>
  <si>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</si>
  <si>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</si>
  <si>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</si>
  <si>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</si>
  <si>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</si>
  <si>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</si>
  <si>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</si>
  <si>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</si>
  <si>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</si>
  <si>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</si>
  <si>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</si>
  <si>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</si>
  <si>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</si>
  <si>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</si>
  <si>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</si>
  <si>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</si>
  <si>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</si>
  <si>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</si>
  <si>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</si>
  <si>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</si>
  <si>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</si>
  <si>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</si>
  <si>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</si>
  <si>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</si>
  <si>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</si>
  <si>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</si>
  <si>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</si>
  <si>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</si>
  <si>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</si>
  <si>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</si>
  <si>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</si>
  <si>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</si>
  <si>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</si>
  <si>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</si>
  <si>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</si>
  <si>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</si>
  <si>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</si>
  <si>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</si>
  <si>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</si>
  <si>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</si>
  <si>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</si>
  <si>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</si>
  <si>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</si>
  <si>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</si>
  <si>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</si>
  <si>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</si>
  <si>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</si>
  <si>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</si>
  <si>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</si>
  <si>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</si>
  <si>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</si>
  <si>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</si>
  <si>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</si>
  <si>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</si>
  <si>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</si>
  <si>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</si>
  <si>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</si>
  <si>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</si>
  <si>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</si>
  <si>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</si>
  <si>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</si>
  <si>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</si>
  <si>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</si>
  <si>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</si>
  <si>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</si>
  <si>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</si>
  <si>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</si>
  <si>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</si>
  <si>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</si>
  <si>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</si>
  <si>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</si>
  <si>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</si>
  <si>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</si>
  <si>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</si>
  <si>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</si>
  <si>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</si>
  <si>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</si>
  <si>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</si>
  <si>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</si>
  <si>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</si>
  <si>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</si>
  <si>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</si>
  <si>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</si>
  <si>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</si>
  <si>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</si>
  <si>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</si>
  <si>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</si>
  <si>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</si>
  <si>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</si>
  <si>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</si>
  <si>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</si>
  <si>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</si>
  <si>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</si>
  <si>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</si>
  <si>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</si>
  <si>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</si>
  <si>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</si>
  <si>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</si>
  <si>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</si>
  <si>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</si>
  <si>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</si>
  <si>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</si>
  <si>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</si>
  <si>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</si>
  <si>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</si>
  <si>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</si>
  <si>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</si>
  <si>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</si>
  <si>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</si>
  <si>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</si>
  <si>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</si>
  <si>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</si>
  <si>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</si>
  <si>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</si>
  <si>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</si>
  <si>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</si>
  <si>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</si>
  <si>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</si>
  <si>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</si>
  <si>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</si>
  <si>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</si>
  <si>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</si>
  <si>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</si>
  <si>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</si>
  <si>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</si>
  <si>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</si>
  <si>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</si>
  <si>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</si>
  <si>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</si>
  <si>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</si>
  <si>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</si>
  <si>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</si>
  <si>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</si>
  <si>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</si>
  <si>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</si>
  <si>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</si>
  <si>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</si>
  <si>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</si>
  <si>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</si>
  <si>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</si>
  <si>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</si>
  <si>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</si>
  <si>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</si>
  <si>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</si>
  <si>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</si>
  <si>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</si>
  <si>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</si>
  <si>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</si>
  <si>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</si>
  <si>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</si>
  <si>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</si>
  <si>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</si>
  <si>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</si>
  <si>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</si>
  <si>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</si>
  <si>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</si>
  <si>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</si>
  <si>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</si>
  <si>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</si>
  <si>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</si>
  <si>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</si>
  <si>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</si>
  <si>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</si>
  <si>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</si>
  <si>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</si>
  <si>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</si>
  <si>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</si>
  <si>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</si>
  <si>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</si>
  <si>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</si>
  <si>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</si>
  <si>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</si>
  <si>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</si>
  <si>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</si>
  <si>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</si>
  <si>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</si>
  <si>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</si>
  <si>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</si>
  <si>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</si>
  <si>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</si>
  <si>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</si>
  <si>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</si>
  <si>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</si>
  <si>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</si>
  <si>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</si>
  <si>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</si>
  <si>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</si>
  <si>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</si>
  <si>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</si>
  <si>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</si>
  <si>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</si>
  <si>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</si>
  <si>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</si>
  <si>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</si>
  <si>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</si>
  <si>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</si>
  <si>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</si>
  <si>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</si>
  <si>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</si>
  <si>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</si>
  <si>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</si>
  <si>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</si>
  <si>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</si>
  <si>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</si>
  <si>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</si>
  <si>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</si>
  <si>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</si>
  <si>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</si>
  <si>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</si>
  <si>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</si>
  <si>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</si>
  <si>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</si>
  <si>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</si>
  <si>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</si>
  <si>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</si>
  <si>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</si>
  <si>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</si>
  <si>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</si>
  <si>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</si>
  <si>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</si>
  <si>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</si>
  <si>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</si>
  <si>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</si>
  <si>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</si>
  <si>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</si>
  <si>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</si>
  <si>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</si>
  <si>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</si>
  <si>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</si>
  <si>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</si>
  <si>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</si>
  <si>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</si>
  <si>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</si>
  <si>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</si>
  <si>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</si>
  <si>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</si>
  <si>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</si>
  <si>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</si>
  <si>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</si>
  <si>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</si>
  <si>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</si>
  <si>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</si>
  <si>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</si>
  <si>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</si>
  <si>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</si>
  <si>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</si>
  <si>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</si>
  <si>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</si>
  <si>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</si>
  <si>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</si>
  <si>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</si>
  <si>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</si>
  <si>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</si>
  <si>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</si>
  <si>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</si>
  <si>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</si>
  <si>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</si>
  <si>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</si>
  <si>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</si>
  <si>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</si>
  <si>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</si>
  <si>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</si>
  <si>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</si>
  <si>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JUNTA MUNICIPAL DE AGUA POTABLE Y ALCANTARILLADO DE CORTAZAR, GTO.</t>
  </si>
  <si>
    <t>Al 31 de diciembre de 2019 y al 30 de marzo de 2020 (b)</t>
  </si>
  <si>
    <t>Del 1 de enero al 30 de marzo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</si>
</sst>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15" fillId="0" borderId="13" xfId="0" applyNumberFormat="1" applyFont="1" applyBorder="1" applyAlignment="1" applyProtection="1">
      <alignment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43" fontId="16" fillId="0" borderId="13" xfId="1" applyFont="1" applyFill="1" applyBorder="1" applyProtection="1">
      <protection locked="0"/>
    </xf>
    <xf numFmtId="43" fontId="0" fillId="0" borderId="13" xfId="1" applyFont="1" applyFill="1" applyBorder="1" applyProtection="1">
      <protection locked="0"/>
    </xf>
    <xf numFmtId="43" fontId="6" fillId="0" borderId="13" xfId="1" applyFont="1" applyFill="1" applyBorder="1" applyProtection="1">
      <protection locked="0"/>
    </xf>
    <xf numFmtId="43" fontId="16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6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6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3" fontId="17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17" fillId="0" borderId="13" xfId="0" applyNumberFormat="1" applyFont="1" applyBorder="1" applyAlignment="1" applyProtection="1">
      <alignment horizontal="right" vertical="center" wrapText="1"/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50" t="s">
        <v>829</v>
      </c>
      <c r="B1" s="151"/>
      <c r="C1" s="151"/>
      <c r="D1" s="151"/>
      <c r="E1" s="152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53" t="s">
        <v>3302</v>
      </c>
      <c r="D3" s="153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activeCell="B65" sqref="B65:D66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66" t="s">
        <v>542</v>
      </c>
      <c r="B1" s="166"/>
      <c r="C1" s="166"/>
      <c r="D1" s="166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54" t="str">
        <f>ENTE_PUBLICO_A</f>
        <v>JUNTA MUNICIPAL DE AGUA POTABLE Y ALCANTARILLADO DE CORTAZAR, GTO., Gobierno del Estado de Guanajuato (a)</v>
      </c>
      <c r="B2" s="155"/>
      <c r="C2" s="155"/>
      <c r="D2" s="156"/>
    </row>
    <row r="3" spans="1:11" ht="14.25" x14ac:dyDescent="0.45">
      <c r="A3" s="157" t="s">
        <v>166</v>
      </c>
      <c r="B3" s="158"/>
      <c r="C3" s="158"/>
      <c r="D3" s="159"/>
    </row>
    <row r="4" spans="1:11" ht="14.25" x14ac:dyDescent="0.45">
      <c r="A4" s="160" t="str">
        <f>TRIMESTRE</f>
        <v>Del 1 de enero al 30 de marzo de 2020 (b)</v>
      </c>
      <c r="B4" s="161"/>
      <c r="C4" s="161"/>
      <c r="D4" s="162"/>
    </row>
    <row r="5" spans="1:11" ht="14.25" x14ac:dyDescent="0.45">
      <c r="A5" s="163" t="s">
        <v>118</v>
      </c>
      <c r="B5" s="164"/>
      <c r="C5" s="164"/>
      <c r="D5" s="165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ht="14.25" x14ac:dyDescent="0.45">
      <c r="A8" s="55" t="s">
        <v>168</v>
      </c>
      <c r="B8" s="40">
        <f>SUM(B9:B11)</f>
        <v>65174953</v>
      </c>
      <c r="C8" s="40">
        <f t="shared" ref="C8:D8" si="0">SUM(C9:C11)</f>
        <v>16193119.449999999</v>
      </c>
      <c r="D8" s="40">
        <f t="shared" si="0"/>
        <v>16193119.449999999</v>
      </c>
    </row>
    <row r="9" spans="1:11" x14ac:dyDescent="0.25">
      <c r="A9" s="53" t="s">
        <v>169</v>
      </c>
      <c r="B9" s="193">
        <v>65174953</v>
      </c>
      <c r="C9" s="193">
        <v>16193119.449999999</v>
      </c>
      <c r="D9" s="193">
        <v>16193119.449999999</v>
      </c>
    </row>
    <row r="10" spans="1:11" x14ac:dyDescent="0.25">
      <c r="A10" s="53" t="s">
        <v>170</v>
      </c>
      <c r="B10" s="193">
        <v>0</v>
      </c>
      <c r="C10" s="193">
        <v>0</v>
      </c>
      <c r="D10" s="193">
        <v>0</v>
      </c>
    </row>
    <row r="11" spans="1:11" x14ac:dyDescent="0.25">
      <c r="A11" s="53" t="s">
        <v>171</v>
      </c>
      <c r="B11" s="194"/>
      <c r="C11" s="194"/>
      <c r="D11" s="194"/>
    </row>
    <row r="12" spans="1:11" ht="14.25" x14ac:dyDescent="0.45">
      <c r="A12" s="95"/>
      <c r="B12" s="12"/>
      <c r="C12" s="12"/>
      <c r="D12" s="12"/>
    </row>
    <row r="13" spans="1:11" ht="14.25" x14ac:dyDescent="0.45">
      <c r="A13" s="55" t="s">
        <v>180</v>
      </c>
      <c r="B13" s="40">
        <f>B14+B15</f>
        <v>67312273</v>
      </c>
      <c r="C13" s="40">
        <f t="shared" ref="C13:D13" si="1">C14+C15</f>
        <v>13957506.1</v>
      </c>
      <c r="D13" s="40">
        <f t="shared" si="1"/>
        <v>13955574.1</v>
      </c>
    </row>
    <row r="14" spans="1:11" x14ac:dyDescent="0.25">
      <c r="A14" s="53" t="s">
        <v>172</v>
      </c>
      <c r="B14" s="193">
        <v>67312273</v>
      </c>
      <c r="C14" s="193">
        <v>13957506.1</v>
      </c>
      <c r="D14" s="193">
        <v>13955574.1</v>
      </c>
    </row>
    <row r="15" spans="1:11" x14ac:dyDescent="0.25">
      <c r="A15" s="53" t="s">
        <v>173</v>
      </c>
      <c r="B15" s="193">
        <v>0</v>
      </c>
      <c r="C15" s="193">
        <v>0</v>
      </c>
      <c r="D15" s="193">
        <v>0</v>
      </c>
    </row>
    <row r="16" spans="1:11" ht="14.25" x14ac:dyDescent="0.45">
      <c r="A16" s="95"/>
      <c r="B16" s="12"/>
      <c r="C16" s="12"/>
      <c r="D16" s="12"/>
    </row>
    <row r="17" spans="1:4" ht="14.25" x14ac:dyDescent="0.45">
      <c r="A17" s="55" t="s">
        <v>174</v>
      </c>
      <c r="B17" s="117">
        <f>B18+B19</f>
        <v>0</v>
      </c>
      <c r="C17" s="40">
        <f t="shared" ref="C17" si="2">C18+C19</f>
        <v>0</v>
      </c>
      <c r="D17" s="40">
        <f>D18+D19</f>
        <v>0</v>
      </c>
    </row>
    <row r="18" spans="1:4" x14ac:dyDescent="0.25">
      <c r="A18" s="53" t="s">
        <v>175</v>
      </c>
      <c r="B18" s="118">
        <v>0</v>
      </c>
      <c r="C18" s="193">
        <v>0</v>
      </c>
      <c r="D18" s="193">
        <v>0</v>
      </c>
    </row>
    <row r="19" spans="1:4" x14ac:dyDescent="0.25">
      <c r="A19" s="53" t="s">
        <v>176</v>
      </c>
      <c r="B19" s="118">
        <v>0</v>
      </c>
      <c r="C19" s="193">
        <v>0</v>
      </c>
      <c r="D19" s="195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-2137320</v>
      </c>
      <c r="C21" s="40">
        <f t="shared" ref="C21:D21" si="3">C8-C13+C17</f>
        <v>2235613.3499999996</v>
      </c>
      <c r="D21" s="40">
        <f t="shared" si="3"/>
        <v>2237545.3499999996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40">
        <f>B21-B11</f>
        <v>-2137320</v>
      </c>
      <c r="C23" s="40">
        <f t="shared" ref="C23:D23" si="4">C21-C11</f>
        <v>2235613.3499999996</v>
      </c>
      <c r="D23" s="40">
        <f t="shared" si="4"/>
        <v>2237545.3499999996</v>
      </c>
    </row>
    <row r="24" spans="1:4" ht="14.25" x14ac:dyDescent="0.45">
      <c r="A24" s="55"/>
      <c r="B24" s="17"/>
      <c r="C24" s="17"/>
      <c r="D24" s="17"/>
    </row>
    <row r="25" spans="1:4" ht="14.25" x14ac:dyDescent="0.45">
      <c r="A25" s="119" t="s">
        <v>179</v>
      </c>
      <c r="B25" s="40">
        <f>B23-B17</f>
        <v>-2137320</v>
      </c>
      <c r="C25" s="40">
        <f t="shared" ref="C25" si="5">C23-C17</f>
        <v>2235613.3499999996</v>
      </c>
      <c r="D25" s="40">
        <f>D23-D17</f>
        <v>2237545.3499999996</v>
      </c>
    </row>
    <row r="26" spans="1:4" ht="14.25" x14ac:dyDescent="0.45">
      <c r="A26" s="120"/>
      <c r="B26" s="13"/>
      <c r="C26" s="13"/>
      <c r="D26" s="13"/>
    </row>
    <row r="27" spans="1:4" ht="14.25" x14ac:dyDescent="0.45">
      <c r="A27" s="90"/>
    </row>
    <row r="28" spans="1:4" ht="30" customHeight="1" x14ac:dyDescent="0.4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196">
        <v>0</v>
      </c>
      <c r="C30" s="196">
        <v>0</v>
      </c>
      <c r="D30" s="196">
        <v>0</v>
      </c>
    </row>
    <row r="31" spans="1:4" x14ac:dyDescent="0.25">
      <c r="A31" s="53" t="s">
        <v>188</v>
      </c>
      <c r="B31" s="196">
        <v>0</v>
      </c>
      <c r="C31" s="196">
        <v>0</v>
      </c>
      <c r="D31" s="196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-2137320</v>
      </c>
      <c r="C33" s="61">
        <f t="shared" ref="C33:D33" si="7">C25+C29</f>
        <v>2235613.3499999996</v>
      </c>
      <c r="D33" s="61">
        <f t="shared" si="7"/>
        <v>2237545.3499999996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197"/>
      <c r="C38" s="197"/>
      <c r="D38" s="197"/>
    </row>
    <row r="39" spans="1:4" x14ac:dyDescent="0.25">
      <c r="A39" s="53" t="s">
        <v>193</v>
      </c>
      <c r="B39" s="197"/>
      <c r="C39" s="197"/>
      <c r="D39" s="197"/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196">
        <v>0</v>
      </c>
      <c r="C41" s="196">
        <v>0</v>
      </c>
      <c r="D41" s="196">
        <v>0</v>
      </c>
    </row>
    <row r="42" spans="1:4" x14ac:dyDescent="0.25">
      <c r="A42" s="53" t="s">
        <v>196</v>
      </c>
      <c r="B42" s="196">
        <v>0</v>
      </c>
      <c r="C42" s="196">
        <v>0</v>
      </c>
      <c r="D42" s="196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23">
        <f>B9</f>
        <v>65174953</v>
      </c>
      <c r="C48" s="123">
        <f>C9</f>
        <v>16193119.449999999</v>
      </c>
      <c r="D48" s="123">
        <f t="shared" ref="D48" si="11">D9</f>
        <v>16193119.449999999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7" t="s">
        <v>192</v>
      </c>
      <c r="B50" s="197"/>
      <c r="C50" s="197"/>
      <c r="D50" s="197"/>
    </row>
    <row r="51" spans="1:4" x14ac:dyDescent="0.25">
      <c r="A51" s="127" t="s">
        <v>195</v>
      </c>
      <c r="B51" s="196">
        <v>0</v>
      </c>
      <c r="C51" s="196">
        <v>0</v>
      </c>
      <c r="D51" s="196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67312273</v>
      </c>
      <c r="C53" s="60">
        <f t="shared" ref="C53:D53" si="13">C14</f>
        <v>13957506.1</v>
      </c>
      <c r="D53" s="60">
        <f t="shared" si="13"/>
        <v>13955574.1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60">
        <f t="shared" ref="C55:D55" si="14">C18</f>
        <v>0</v>
      </c>
      <c r="D55" s="60">
        <f t="shared" si="14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9" t="s">
        <v>201</v>
      </c>
      <c r="B57" s="61">
        <f>B48+B49-B53+B55</f>
        <v>-2137320</v>
      </c>
      <c r="C57" s="61">
        <f>C48+C49-C53+C55</f>
        <v>2235613.3499999996</v>
      </c>
      <c r="D57" s="61">
        <f t="shared" ref="D57" si="15">D48+D49-D53+D55</f>
        <v>2237545.3499999996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9" t="s">
        <v>200</v>
      </c>
      <c r="B59" s="61">
        <f>B57-B49</f>
        <v>-2137320</v>
      </c>
      <c r="C59" s="61">
        <f t="shared" ref="C59:D59" si="16">C57-C49</f>
        <v>2235613.3499999996</v>
      </c>
      <c r="D59" s="61">
        <f t="shared" si="16"/>
        <v>2237545.3499999996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1">
        <f>B10</f>
        <v>0</v>
      </c>
      <c r="C63" s="121">
        <f t="shared" ref="C63:D63" si="17">C10</f>
        <v>0</v>
      </c>
      <c r="D63" s="121">
        <f t="shared" si="17"/>
        <v>0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8">C65-C66</f>
        <v>0</v>
      </c>
      <c r="D64" s="40">
        <f t="shared" si="18"/>
        <v>0</v>
      </c>
    </row>
    <row r="65" spans="1:4" x14ac:dyDescent="0.25">
      <c r="A65" s="127" t="s">
        <v>193</v>
      </c>
      <c r="B65" s="194"/>
      <c r="C65" s="194"/>
      <c r="D65" s="194"/>
    </row>
    <row r="66" spans="1:4" x14ac:dyDescent="0.25">
      <c r="A66" s="127" t="s">
        <v>196</v>
      </c>
      <c r="B66" s="193">
        <v>0</v>
      </c>
      <c r="C66" s="193">
        <v>0</v>
      </c>
      <c r="D66" s="19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19">C15</f>
        <v>0</v>
      </c>
      <c r="D68" s="23">
        <f t="shared" si="19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2">
        <f>B19</f>
        <v>0</v>
      </c>
      <c r="C70" s="23">
        <f t="shared" ref="C70:D70" si="20">C19</f>
        <v>0</v>
      </c>
      <c r="D70" s="23">
        <f t="shared" si="20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9" t="s">
        <v>205</v>
      </c>
      <c r="B72" s="40">
        <f>B63+B64-B68+B70</f>
        <v>0</v>
      </c>
      <c r="C72" s="40">
        <f t="shared" ref="C72:D72" si="21">C63+C64-C68+C70</f>
        <v>0</v>
      </c>
      <c r="D72" s="40">
        <f t="shared" si="21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9" t="s">
        <v>204</v>
      </c>
      <c r="B74" s="40">
        <f>B72-B64</f>
        <v>0</v>
      </c>
      <c r="C74" s="40">
        <f>C72-C64</f>
        <v>0</v>
      </c>
      <c r="D74" s="40">
        <f t="shared" ref="D74" si="22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65174953</v>
      </c>
      <c r="Q2" s="18">
        <f>'Formato 4'!C8</f>
        <v>16193119.449999999</v>
      </c>
      <c r="R2" s="18">
        <f>'Formato 4'!D8</f>
        <v>16193119.449999999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65174953</v>
      </c>
      <c r="Q3" s="18">
        <f>'Formato 4'!C9</f>
        <v>16193119.449999999</v>
      </c>
      <c r="R3" s="18">
        <f>'Formato 4'!D9</f>
        <v>16193119.449999999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67312273</v>
      </c>
      <c r="Q6" s="18">
        <f>'Formato 4'!C13</f>
        <v>13957506.1</v>
      </c>
      <c r="R6" s="18">
        <f>'Formato 4'!D13</f>
        <v>13955574.1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67312273</v>
      </c>
      <c r="Q7" s="18">
        <f>'Formato 4'!C14</f>
        <v>13957506.1</v>
      </c>
      <c r="R7" s="18">
        <f>'Formato 4'!D14</f>
        <v>13955574.1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-2137320</v>
      </c>
      <c r="Q12" s="18">
        <f>'Formato 4'!C21</f>
        <v>2235613.3499999996</v>
      </c>
      <c r="R12" s="18">
        <f>'Formato 4'!D21</f>
        <v>2237545.3499999996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-2137320</v>
      </c>
      <c r="Q13" s="18">
        <f>'Formato 4'!C23</f>
        <v>2235613.3499999996</v>
      </c>
      <c r="R13" s="18">
        <f>'Formato 4'!D23</f>
        <v>2237545.3499999996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-2137320</v>
      </c>
      <c r="Q14" s="18">
        <f>'Formato 4'!C25</f>
        <v>2235613.3499999996</v>
      </c>
      <c r="R14" s="18">
        <f>'Formato 4'!D25</f>
        <v>2237545.3499999996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-2137320</v>
      </c>
      <c r="Q18">
        <f>'Formato 4'!C33</f>
        <v>2235613.3499999996</v>
      </c>
      <c r="R18">
        <f>'Formato 4'!D33</f>
        <v>2237545.3499999996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65174953</v>
      </c>
      <c r="Q26">
        <f>'Formato 4'!C48</f>
        <v>16193119.449999999</v>
      </c>
      <c r="R26">
        <f>'Formato 4'!D48</f>
        <v>16193119.449999999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67312273</v>
      </c>
      <c r="Q30">
        <f>'Formato 4'!C53</f>
        <v>13957506.1</v>
      </c>
      <c r="R30">
        <f>'Formato 4'!D53</f>
        <v>13955574.1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25" zoomScale="85" zoomScaleNormal="85" workbookViewId="0">
      <selection activeCell="B73" sqref="B73:G7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2" t="s">
        <v>206</v>
      </c>
      <c r="B1" s="172"/>
      <c r="C1" s="172"/>
      <c r="D1" s="172"/>
      <c r="E1" s="172"/>
      <c r="F1" s="172"/>
      <c r="G1" s="172"/>
    </row>
    <row r="2" spans="1:8" ht="14.25" x14ac:dyDescent="0.45">
      <c r="A2" s="154" t="str">
        <f>ENTE_PUBLICO_A</f>
        <v>JUNTA MUNICIPAL DE AGUA POTABLE Y ALCANTARILLADO DE CORTAZAR, GTO., Gobierno del Estado de Guanajuato (a)</v>
      </c>
      <c r="B2" s="155"/>
      <c r="C2" s="155"/>
      <c r="D2" s="155"/>
      <c r="E2" s="155"/>
      <c r="F2" s="155"/>
      <c r="G2" s="156"/>
    </row>
    <row r="3" spans="1:8" x14ac:dyDescent="0.25">
      <c r="A3" s="157" t="s">
        <v>207</v>
      </c>
      <c r="B3" s="158"/>
      <c r="C3" s="158"/>
      <c r="D3" s="158"/>
      <c r="E3" s="158"/>
      <c r="F3" s="158"/>
      <c r="G3" s="159"/>
    </row>
    <row r="4" spans="1:8" ht="14.25" x14ac:dyDescent="0.45">
      <c r="A4" s="160" t="str">
        <f>TRIMESTRE</f>
        <v>Del 1 de enero al 30 de marzo de 2020 (b)</v>
      </c>
      <c r="B4" s="161"/>
      <c r="C4" s="161"/>
      <c r="D4" s="161"/>
      <c r="E4" s="161"/>
      <c r="F4" s="161"/>
      <c r="G4" s="162"/>
    </row>
    <row r="5" spans="1:8" ht="14.25" x14ac:dyDescent="0.45">
      <c r="A5" s="163" t="s">
        <v>118</v>
      </c>
      <c r="B5" s="164"/>
      <c r="C5" s="164"/>
      <c r="D5" s="164"/>
      <c r="E5" s="164"/>
      <c r="F5" s="164"/>
      <c r="G5" s="165"/>
    </row>
    <row r="6" spans="1:8" x14ac:dyDescent="0.25">
      <c r="A6" s="169" t="s">
        <v>214</v>
      </c>
      <c r="B6" s="171" t="s">
        <v>208</v>
      </c>
      <c r="C6" s="171"/>
      <c r="D6" s="171"/>
      <c r="E6" s="171"/>
      <c r="F6" s="171"/>
      <c r="G6" s="171" t="s">
        <v>209</v>
      </c>
    </row>
    <row r="7" spans="1:8" ht="30" x14ac:dyDescent="0.25">
      <c r="A7" s="170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1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96">
        <v>0</v>
      </c>
      <c r="C9" s="196">
        <v>0</v>
      </c>
      <c r="D9" s="197">
        <f>B9+C9</f>
        <v>0</v>
      </c>
      <c r="E9" s="196">
        <v>0</v>
      </c>
      <c r="F9" s="196">
        <v>0</v>
      </c>
      <c r="G9" s="197">
        <f>F9-B9</f>
        <v>0</v>
      </c>
      <c r="H9" s="8"/>
    </row>
    <row r="10" spans="1:8" x14ac:dyDescent="0.25">
      <c r="A10" s="53" t="s">
        <v>217</v>
      </c>
      <c r="B10" s="196">
        <v>0</v>
      </c>
      <c r="C10" s="196">
        <v>0</v>
      </c>
      <c r="D10" s="197">
        <f t="shared" ref="D10:D15" si="0">B10+C10</f>
        <v>0</v>
      </c>
      <c r="E10" s="196">
        <v>0</v>
      </c>
      <c r="F10" s="196">
        <v>0</v>
      </c>
      <c r="G10" s="197">
        <f t="shared" ref="G10:G15" si="1">F10-B10</f>
        <v>0</v>
      </c>
    </row>
    <row r="11" spans="1:8" x14ac:dyDescent="0.25">
      <c r="A11" s="53" t="s">
        <v>218</v>
      </c>
      <c r="B11" s="196">
        <v>0</v>
      </c>
      <c r="C11" s="196">
        <v>0</v>
      </c>
      <c r="D11" s="197">
        <f t="shared" si="0"/>
        <v>0</v>
      </c>
      <c r="E11" s="196">
        <v>0</v>
      </c>
      <c r="F11" s="196">
        <v>0</v>
      </c>
      <c r="G11" s="197">
        <f t="shared" si="1"/>
        <v>0</v>
      </c>
    </row>
    <row r="12" spans="1:8" x14ac:dyDescent="0.25">
      <c r="A12" s="53" t="s">
        <v>219</v>
      </c>
      <c r="B12" s="196">
        <v>0</v>
      </c>
      <c r="C12" s="196">
        <v>0</v>
      </c>
      <c r="D12" s="197">
        <f t="shared" si="0"/>
        <v>0</v>
      </c>
      <c r="E12" s="196">
        <v>0</v>
      </c>
      <c r="F12" s="196">
        <v>0</v>
      </c>
      <c r="G12" s="197">
        <f t="shared" si="1"/>
        <v>0</v>
      </c>
    </row>
    <row r="13" spans="1:8" x14ac:dyDescent="0.25">
      <c r="A13" s="53" t="s">
        <v>220</v>
      </c>
      <c r="B13" s="196">
        <v>131672</v>
      </c>
      <c r="C13" s="196">
        <v>0</v>
      </c>
      <c r="D13" s="197">
        <f t="shared" si="0"/>
        <v>131672</v>
      </c>
      <c r="E13" s="196">
        <v>94161.919999999998</v>
      </c>
      <c r="F13" s="196">
        <v>94161.919999999998</v>
      </c>
      <c r="G13" s="197">
        <f t="shared" si="1"/>
        <v>-37510.080000000002</v>
      </c>
    </row>
    <row r="14" spans="1:8" x14ac:dyDescent="0.25">
      <c r="A14" s="53" t="s">
        <v>221</v>
      </c>
      <c r="B14" s="196">
        <v>0</v>
      </c>
      <c r="C14" s="196">
        <v>0</v>
      </c>
      <c r="D14" s="197">
        <f t="shared" si="0"/>
        <v>0</v>
      </c>
      <c r="E14" s="196">
        <v>0</v>
      </c>
      <c r="F14" s="196">
        <v>0</v>
      </c>
      <c r="G14" s="197">
        <f t="shared" si="1"/>
        <v>0</v>
      </c>
    </row>
    <row r="15" spans="1:8" x14ac:dyDescent="0.25">
      <c r="A15" s="53" t="s">
        <v>222</v>
      </c>
      <c r="B15" s="196">
        <v>65043281</v>
      </c>
      <c r="C15" s="196">
        <v>0</v>
      </c>
      <c r="D15" s="197">
        <f t="shared" si="0"/>
        <v>65043281</v>
      </c>
      <c r="E15" s="196">
        <v>16098957.529999999</v>
      </c>
      <c r="F15" s="196">
        <v>16098957.529999999</v>
      </c>
      <c r="G15" s="197">
        <f t="shared" si="1"/>
        <v>-48944323.469999999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2">SUM(C17:C27)</f>
        <v>0</v>
      </c>
      <c r="D16" s="60">
        <f t="shared" si="2"/>
        <v>0</v>
      </c>
      <c r="E16" s="60">
        <f t="shared" si="2"/>
        <v>0</v>
      </c>
      <c r="F16" s="60">
        <f t="shared" si="2"/>
        <v>0</v>
      </c>
      <c r="G16" s="60">
        <f>SUM(G17:G27)</f>
        <v>0</v>
      </c>
    </row>
    <row r="17" spans="1:7" x14ac:dyDescent="0.25">
      <c r="A17" s="63" t="s">
        <v>223</v>
      </c>
      <c r="B17" s="196">
        <v>0</v>
      </c>
      <c r="C17" s="196">
        <v>0</v>
      </c>
      <c r="D17" s="197">
        <f t="shared" ref="D17:D27" si="3">B17+C17</f>
        <v>0</v>
      </c>
      <c r="E17" s="196">
        <v>0</v>
      </c>
      <c r="F17" s="196">
        <v>0</v>
      </c>
      <c r="G17" s="197">
        <f t="shared" ref="G17:G27" si="4">F17-B17</f>
        <v>0</v>
      </c>
    </row>
    <row r="18" spans="1:7" x14ac:dyDescent="0.25">
      <c r="A18" s="63" t="s">
        <v>224</v>
      </c>
      <c r="B18" s="197"/>
      <c r="C18" s="197"/>
      <c r="D18" s="197">
        <f t="shared" si="3"/>
        <v>0</v>
      </c>
      <c r="E18" s="197"/>
      <c r="F18" s="197"/>
      <c r="G18" s="197">
        <f t="shared" si="4"/>
        <v>0</v>
      </c>
    </row>
    <row r="19" spans="1:7" x14ac:dyDescent="0.25">
      <c r="A19" s="63" t="s">
        <v>225</v>
      </c>
      <c r="B19" s="197"/>
      <c r="C19" s="197"/>
      <c r="D19" s="197">
        <f t="shared" si="3"/>
        <v>0</v>
      </c>
      <c r="E19" s="197"/>
      <c r="F19" s="197"/>
      <c r="G19" s="197">
        <f t="shared" si="4"/>
        <v>0</v>
      </c>
    </row>
    <row r="20" spans="1:7" x14ac:dyDescent="0.25">
      <c r="A20" s="63" t="s">
        <v>226</v>
      </c>
      <c r="B20" s="197"/>
      <c r="C20" s="197"/>
      <c r="D20" s="197">
        <f t="shared" si="3"/>
        <v>0</v>
      </c>
      <c r="E20" s="197"/>
      <c r="F20" s="197"/>
      <c r="G20" s="197">
        <f t="shared" si="4"/>
        <v>0</v>
      </c>
    </row>
    <row r="21" spans="1:7" x14ac:dyDescent="0.25">
      <c r="A21" s="63" t="s">
        <v>227</v>
      </c>
      <c r="B21" s="197"/>
      <c r="C21" s="197"/>
      <c r="D21" s="197">
        <f t="shared" si="3"/>
        <v>0</v>
      </c>
      <c r="E21" s="197"/>
      <c r="F21" s="197"/>
      <c r="G21" s="197">
        <f t="shared" si="4"/>
        <v>0</v>
      </c>
    </row>
    <row r="22" spans="1:7" x14ac:dyDescent="0.25">
      <c r="A22" s="63" t="s">
        <v>228</v>
      </c>
      <c r="B22" s="197"/>
      <c r="C22" s="197"/>
      <c r="D22" s="197">
        <f t="shared" si="3"/>
        <v>0</v>
      </c>
      <c r="E22" s="197"/>
      <c r="F22" s="197"/>
      <c r="G22" s="197">
        <f t="shared" si="4"/>
        <v>0</v>
      </c>
    </row>
    <row r="23" spans="1:7" x14ac:dyDescent="0.25">
      <c r="A23" s="63" t="s">
        <v>229</v>
      </c>
      <c r="B23" s="197"/>
      <c r="C23" s="197"/>
      <c r="D23" s="197">
        <f t="shared" si="3"/>
        <v>0</v>
      </c>
      <c r="E23" s="197"/>
      <c r="F23" s="197"/>
      <c r="G23" s="197">
        <f t="shared" si="4"/>
        <v>0</v>
      </c>
    </row>
    <row r="24" spans="1:7" x14ac:dyDescent="0.25">
      <c r="A24" s="63" t="s">
        <v>230</v>
      </c>
      <c r="B24" s="197"/>
      <c r="C24" s="197"/>
      <c r="D24" s="197">
        <f t="shared" si="3"/>
        <v>0</v>
      </c>
      <c r="E24" s="197"/>
      <c r="F24" s="197"/>
      <c r="G24" s="197">
        <f t="shared" si="4"/>
        <v>0</v>
      </c>
    </row>
    <row r="25" spans="1:7" x14ac:dyDescent="0.25">
      <c r="A25" s="63" t="s">
        <v>231</v>
      </c>
      <c r="B25" s="197"/>
      <c r="C25" s="197"/>
      <c r="D25" s="197">
        <f t="shared" si="3"/>
        <v>0</v>
      </c>
      <c r="E25" s="197"/>
      <c r="F25" s="197"/>
      <c r="G25" s="197">
        <f t="shared" si="4"/>
        <v>0</v>
      </c>
    </row>
    <row r="26" spans="1:7" x14ac:dyDescent="0.25">
      <c r="A26" s="63" t="s">
        <v>232</v>
      </c>
      <c r="B26" s="197"/>
      <c r="C26" s="197"/>
      <c r="D26" s="197">
        <f t="shared" si="3"/>
        <v>0</v>
      </c>
      <c r="E26" s="197"/>
      <c r="F26" s="197"/>
      <c r="G26" s="197">
        <f t="shared" si="4"/>
        <v>0</v>
      </c>
    </row>
    <row r="27" spans="1:7" x14ac:dyDescent="0.25">
      <c r="A27" s="63" t="s">
        <v>233</v>
      </c>
      <c r="B27" s="197"/>
      <c r="C27" s="197"/>
      <c r="D27" s="197">
        <f t="shared" si="3"/>
        <v>0</v>
      </c>
      <c r="E27" s="197"/>
      <c r="F27" s="197"/>
      <c r="G27" s="197">
        <f t="shared" si="4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5">SUM(C29:C33)</f>
        <v>0</v>
      </c>
      <c r="D28" s="60">
        <f t="shared" si="5"/>
        <v>0</v>
      </c>
      <c r="E28" s="60">
        <f t="shared" si="5"/>
        <v>0</v>
      </c>
      <c r="F28" s="60">
        <f t="shared" si="5"/>
        <v>0</v>
      </c>
      <c r="G28" s="60">
        <f t="shared" si="5"/>
        <v>0</v>
      </c>
    </row>
    <row r="29" spans="1:7" x14ac:dyDescent="0.25">
      <c r="A29" s="63" t="s">
        <v>235</v>
      </c>
      <c r="B29" s="196">
        <v>0</v>
      </c>
      <c r="C29" s="196">
        <v>0</v>
      </c>
      <c r="D29" s="197">
        <f t="shared" ref="D29:D33" si="6">B29+C29</f>
        <v>0</v>
      </c>
      <c r="E29" s="196">
        <v>0</v>
      </c>
      <c r="F29" s="196">
        <v>0</v>
      </c>
      <c r="G29" s="197">
        <f t="shared" ref="G29:G34" si="7">F29-B29</f>
        <v>0</v>
      </c>
    </row>
    <row r="30" spans="1:7" x14ac:dyDescent="0.25">
      <c r="A30" s="63" t="s">
        <v>236</v>
      </c>
      <c r="B30" s="197"/>
      <c r="C30" s="197"/>
      <c r="D30" s="197">
        <f t="shared" si="6"/>
        <v>0</v>
      </c>
      <c r="E30" s="197"/>
      <c r="F30" s="197"/>
      <c r="G30" s="197">
        <f t="shared" si="7"/>
        <v>0</v>
      </c>
    </row>
    <row r="31" spans="1:7" x14ac:dyDescent="0.25">
      <c r="A31" s="63" t="s">
        <v>237</v>
      </c>
      <c r="B31" s="197"/>
      <c r="C31" s="197"/>
      <c r="D31" s="197">
        <f t="shared" si="6"/>
        <v>0</v>
      </c>
      <c r="E31" s="197"/>
      <c r="F31" s="197"/>
      <c r="G31" s="197">
        <f t="shared" si="7"/>
        <v>0</v>
      </c>
    </row>
    <row r="32" spans="1:7" x14ac:dyDescent="0.25">
      <c r="A32" s="63" t="s">
        <v>238</v>
      </c>
      <c r="B32" s="197"/>
      <c r="C32" s="197"/>
      <c r="D32" s="197">
        <f t="shared" si="6"/>
        <v>0</v>
      </c>
      <c r="E32" s="197"/>
      <c r="F32" s="197"/>
      <c r="G32" s="197">
        <f t="shared" si="7"/>
        <v>0</v>
      </c>
    </row>
    <row r="33" spans="1:8" x14ac:dyDescent="0.25">
      <c r="A33" s="63" t="s">
        <v>239</v>
      </c>
      <c r="B33" s="197"/>
      <c r="C33" s="197"/>
      <c r="D33" s="197">
        <f t="shared" si="6"/>
        <v>0</v>
      </c>
      <c r="E33" s="197"/>
      <c r="F33" s="197"/>
      <c r="G33" s="197">
        <f t="shared" si="7"/>
        <v>0</v>
      </c>
    </row>
    <row r="34" spans="1:8" x14ac:dyDescent="0.25">
      <c r="A34" s="53" t="s">
        <v>240</v>
      </c>
      <c r="B34" s="196">
        <v>0</v>
      </c>
      <c r="C34" s="196">
        <v>0</v>
      </c>
      <c r="D34" s="197">
        <f>B34+C34</f>
        <v>0</v>
      </c>
      <c r="E34" s="196">
        <v>0</v>
      </c>
      <c r="F34" s="196">
        <v>0</v>
      </c>
      <c r="G34" s="197">
        <f t="shared" si="7"/>
        <v>0</v>
      </c>
    </row>
    <row r="35" spans="1:8" x14ac:dyDescent="0.25">
      <c r="A35" s="53" t="s">
        <v>241</v>
      </c>
      <c r="B35" s="60">
        <f>B36</f>
        <v>2137320</v>
      </c>
      <c r="C35" s="60">
        <f t="shared" ref="C35:F35" si="8">C36</f>
        <v>0</v>
      </c>
      <c r="D35" s="60">
        <f t="shared" si="8"/>
        <v>2137320</v>
      </c>
      <c r="E35" s="60">
        <f t="shared" si="8"/>
        <v>1907930</v>
      </c>
      <c r="F35" s="60">
        <f t="shared" si="8"/>
        <v>1907930</v>
      </c>
      <c r="G35" s="60">
        <f>G36</f>
        <v>-229390</v>
      </c>
    </row>
    <row r="36" spans="1:8" x14ac:dyDescent="0.25">
      <c r="A36" s="63" t="s">
        <v>242</v>
      </c>
      <c r="B36" s="196">
        <v>2137320</v>
      </c>
      <c r="C36" s="196">
        <v>0</v>
      </c>
      <c r="D36" s="197">
        <f>B36+C36</f>
        <v>2137320</v>
      </c>
      <c r="E36" s="196">
        <v>1907930</v>
      </c>
      <c r="F36" s="196">
        <v>1907930</v>
      </c>
      <c r="G36" s="197">
        <f t="shared" ref="G36" si="9">F36-B36</f>
        <v>-229390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10">C38+C39</f>
        <v>0</v>
      </c>
      <c r="D37" s="60">
        <f t="shared" si="10"/>
        <v>0</v>
      </c>
      <c r="E37" s="60">
        <f t="shared" si="10"/>
        <v>0</v>
      </c>
      <c r="F37" s="60">
        <f t="shared" si="10"/>
        <v>0</v>
      </c>
      <c r="G37" s="60">
        <f t="shared" si="10"/>
        <v>0</v>
      </c>
    </row>
    <row r="38" spans="1:8" x14ac:dyDescent="0.25">
      <c r="A38" s="63" t="s">
        <v>244</v>
      </c>
      <c r="B38" s="197"/>
      <c r="C38" s="197"/>
      <c r="D38" s="197">
        <f>B38+C38</f>
        <v>0</v>
      </c>
      <c r="E38" s="197"/>
      <c r="F38" s="197"/>
      <c r="G38" s="197">
        <f t="shared" ref="G38:G39" si="11">F38-B38</f>
        <v>0</v>
      </c>
    </row>
    <row r="39" spans="1:8" x14ac:dyDescent="0.25">
      <c r="A39" s="63" t="s">
        <v>245</v>
      </c>
      <c r="B39" s="197"/>
      <c r="C39" s="197"/>
      <c r="D39" s="197">
        <f>B39+C39</f>
        <v>0</v>
      </c>
      <c r="E39" s="197"/>
      <c r="F39" s="197"/>
      <c r="G39" s="197">
        <f t="shared" si="11"/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67312273</v>
      </c>
      <c r="C41" s="61">
        <f t="shared" ref="C41:E41" si="12">SUM(C9,C10,C11,C12,C13,C14,C15,C16,C28,C34,C35,C37)</f>
        <v>0</v>
      </c>
      <c r="D41" s="61">
        <f t="shared" si="12"/>
        <v>67312273</v>
      </c>
      <c r="E41" s="61">
        <f t="shared" si="12"/>
        <v>18101049.449999999</v>
      </c>
      <c r="F41" s="61">
        <f>SUM(F9,F10,F11,F12,F13,F14,F15,F16,F28,F34,F35,F37)</f>
        <v>18101049.449999999</v>
      </c>
      <c r="G41" s="61">
        <f>SUM(G9,G10,G11,G12,G13,G14,G15,G16,G28,G34,G35,G37)</f>
        <v>-49211223.549999997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13">SUM(C46:C53)</f>
        <v>0</v>
      </c>
      <c r="D45" s="60">
        <f t="shared" si="13"/>
        <v>0</v>
      </c>
      <c r="E45" s="60">
        <f t="shared" si="13"/>
        <v>0</v>
      </c>
      <c r="F45" s="60">
        <f t="shared" si="13"/>
        <v>0</v>
      </c>
      <c r="G45" s="60">
        <f t="shared" si="13"/>
        <v>0</v>
      </c>
    </row>
    <row r="46" spans="1:8" x14ac:dyDescent="0.25">
      <c r="A46" s="69" t="s">
        <v>249</v>
      </c>
      <c r="B46" s="197"/>
      <c r="C46" s="197"/>
      <c r="D46" s="197">
        <f>B46+C46</f>
        <v>0</v>
      </c>
      <c r="E46" s="197"/>
      <c r="F46" s="197"/>
      <c r="G46" s="197">
        <f>F46-B46</f>
        <v>0</v>
      </c>
    </row>
    <row r="47" spans="1:8" x14ac:dyDescent="0.25">
      <c r="A47" s="69" t="s">
        <v>250</v>
      </c>
      <c r="B47" s="197"/>
      <c r="C47" s="197"/>
      <c r="D47" s="197">
        <f t="shared" ref="D47:D53" si="14">B47+C47</f>
        <v>0</v>
      </c>
      <c r="E47" s="197"/>
      <c r="F47" s="197"/>
      <c r="G47" s="197">
        <f t="shared" ref="G47:G48" si="15">F47-B47</f>
        <v>0</v>
      </c>
    </row>
    <row r="48" spans="1:8" x14ac:dyDescent="0.25">
      <c r="A48" s="69" t="s">
        <v>251</v>
      </c>
      <c r="B48" s="196">
        <v>0</v>
      </c>
      <c r="C48" s="196">
        <v>0</v>
      </c>
      <c r="D48" s="197">
        <f t="shared" si="14"/>
        <v>0</v>
      </c>
      <c r="E48" s="196">
        <v>0</v>
      </c>
      <c r="F48" s="196">
        <v>0</v>
      </c>
      <c r="G48" s="197">
        <f t="shared" si="15"/>
        <v>0</v>
      </c>
    </row>
    <row r="49" spans="1:7" ht="30" x14ac:dyDescent="0.25">
      <c r="A49" s="69" t="s">
        <v>252</v>
      </c>
      <c r="B49" s="196">
        <v>0</v>
      </c>
      <c r="C49" s="196">
        <v>0</v>
      </c>
      <c r="D49" s="197">
        <f t="shared" si="14"/>
        <v>0</v>
      </c>
      <c r="E49" s="196">
        <v>0</v>
      </c>
      <c r="F49" s="196">
        <v>0</v>
      </c>
      <c r="G49" s="197">
        <f>F49-B49</f>
        <v>0</v>
      </c>
    </row>
    <row r="50" spans="1:7" x14ac:dyDescent="0.25">
      <c r="A50" s="69" t="s">
        <v>253</v>
      </c>
      <c r="B50" s="197"/>
      <c r="C50" s="197"/>
      <c r="D50" s="197">
        <f t="shared" si="14"/>
        <v>0</v>
      </c>
      <c r="E50" s="197"/>
      <c r="F50" s="197"/>
      <c r="G50" s="197">
        <f t="shared" ref="G50:G53" si="16">F50-B50</f>
        <v>0</v>
      </c>
    </row>
    <row r="51" spans="1:7" x14ac:dyDescent="0.25">
      <c r="A51" s="69" t="s">
        <v>254</v>
      </c>
      <c r="B51" s="197"/>
      <c r="C51" s="197"/>
      <c r="D51" s="197">
        <f t="shared" si="14"/>
        <v>0</v>
      </c>
      <c r="E51" s="197"/>
      <c r="F51" s="197"/>
      <c r="G51" s="197">
        <f t="shared" si="16"/>
        <v>0</v>
      </c>
    </row>
    <row r="52" spans="1:7" x14ac:dyDescent="0.25">
      <c r="A52" s="48" t="s">
        <v>255</v>
      </c>
      <c r="B52" s="197"/>
      <c r="C52" s="197"/>
      <c r="D52" s="197">
        <f t="shared" si="14"/>
        <v>0</v>
      </c>
      <c r="E52" s="197"/>
      <c r="F52" s="197"/>
      <c r="G52" s="197">
        <f t="shared" si="16"/>
        <v>0</v>
      </c>
    </row>
    <row r="53" spans="1:7" x14ac:dyDescent="0.25">
      <c r="A53" s="63" t="s">
        <v>256</v>
      </c>
      <c r="B53" s="197"/>
      <c r="C53" s="197"/>
      <c r="D53" s="197">
        <f t="shared" si="14"/>
        <v>0</v>
      </c>
      <c r="E53" s="197"/>
      <c r="F53" s="197"/>
      <c r="G53" s="197">
        <f t="shared" si="16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17">SUM(C55:C58)</f>
        <v>0</v>
      </c>
      <c r="D54" s="60">
        <f t="shared" si="17"/>
        <v>0</v>
      </c>
      <c r="E54" s="60">
        <f t="shared" si="17"/>
        <v>0</v>
      </c>
      <c r="F54" s="60">
        <f t="shared" si="17"/>
        <v>0</v>
      </c>
      <c r="G54" s="60">
        <f t="shared" si="17"/>
        <v>0</v>
      </c>
    </row>
    <row r="55" spans="1:7" x14ac:dyDescent="0.25">
      <c r="A55" s="48" t="s">
        <v>258</v>
      </c>
      <c r="B55" s="197"/>
      <c r="C55" s="197"/>
      <c r="D55" s="197">
        <f t="shared" ref="D55:D58" si="18">B55+C55</f>
        <v>0</v>
      </c>
      <c r="E55" s="197"/>
      <c r="F55" s="197"/>
      <c r="G55" s="197">
        <f t="shared" ref="G55:G58" si="19">F55-B55</f>
        <v>0</v>
      </c>
    </row>
    <row r="56" spans="1:7" x14ac:dyDescent="0.25">
      <c r="A56" s="69" t="s">
        <v>259</v>
      </c>
      <c r="B56" s="197"/>
      <c r="C56" s="197"/>
      <c r="D56" s="197">
        <f t="shared" si="18"/>
        <v>0</v>
      </c>
      <c r="E56" s="197"/>
      <c r="F56" s="197"/>
      <c r="G56" s="197">
        <f t="shared" si="19"/>
        <v>0</v>
      </c>
    </row>
    <row r="57" spans="1:7" x14ac:dyDescent="0.25">
      <c r="A57" s="69" t="s">
        <v>260</v>
      </c>
      <c r="B57" s="197"/>
      <c r="C57" s="197"/>
      <c r="D57" s="197">
        <f t="shared" si="18"/>
        <v>0</v>
      </c>
      <c r="E57" s="197"/>
      <c r="F57" s="197"/>
      <c r="G57" s="197">
        <f t="shared" si="19"/>
        <v>0</v>
      </c>
    </row>
    <row r="58" spans="1:7" x14ac:dyDescent="0.25">
      <c r="A58" s="48" t="s">
        <v>261</v>
      </c>
      <c r="B58" s="196">
        <v>0</v>
      </c>
      <c r="C58" s="196">
        <v>0</v>
      </c>
      <c r="D58" s="197">
        <f t="shared" si="18"/>
        <v>0</v>
      </c>
      <c r="E58" s="196">
        <v>0</v>
      </c>
      <c r="F58" s="196">
        <v>0</v>
      </c>
      <c r="G58" s="197">
        <f t="shared" si="19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20">SUM(C60:C61)</f>
        <v>0</v>
      </c>
      <c r="D59" s="60">
        <f t="shared" si="20"/>
        <v>0</v>
      </c>
      <c r="E59" s="60">
        <f t="shared" si="20"/>
        <v>0</v>
      </c>
      <c r="F59" s="60">
        <f t="shared" si="20"/>
        <v>0</v>
      </c>
      <c r="G59" s="60">
        <f t="shared" si="20"/>
        <v>0</v>
      </c>
    </row>
    <row r="60" spans="1:7" x14ac:dyDescent="0.25">
      <c r="A60" s="69" t="s">
        <v>263</v>
      </c>
      <c r="B60" s="197"/>
      <c r="C60" s="197"/>
      <c r="D60" s="197">
        <f t="shared" ref="D60:D63" si="21">B60+C60</f>
        <v>0</v>
      </c>
      <c r="E60" s="197"/>
      <c r="F60" s="197"/>
      <c r="G60" s="197">
        <f t="shared" ref="G60:G63" si="22">F60-B60</f>
        <v>0</v>
      </c>
    </row>
    <row r="61" spans="1:7" x14ac:dyDescent="0.25">
      <c r="A61" s="69" t="s">
        <v>264</v>
      </c>
      <c r="B61" s="197"/>
      <c r="C61" s="197"/>
      <c r="D61" s="197">
        <f t="shared" si="21"/>
        <v>0</v>
      </c>
      <c r="E61" s="197"/>
      <c r="F61" s="197"/>
      <c r="G61" s="197">
        <f t="shared" si="22"/>
        <v>0</v>
      </c>
    </row>
    <row r="62" spans="1:7" x14ac:dyDescent="0.25">
      <c r="A62" s="53" t="s">
        <v>265</v>
      </c>
      <c r="B62" s="197"/>
      <c r="C62" s="197"/>
      <c r="D62" s="197">
        <f t="shared" si="21"/>
        <v>0</v>
      </c>
      <c r="E62" s="197"/>
      <c r="F62" s="197"/>
      <c r="G62" s="197">
        <f t="shared" si="22"/>
        <v>0</v>
      </c>
    </row>
    <row r="63" spans="1:7" x14ac:dyDescent="0.25">
      <c r="A63" s="53" t="s">
        <v>266</v>
      </c>
      <c r="B63" s="197"/>
      <c r="C63" s="197"/>
      <c r="D63" s="197">
        <f t="shared" si="21"/>
        <v>0</v>
      </c>
      <c r="E63" s="197"/>
      <c r="F63" s="197"/>
      <c r="G63" s="197">
        <f t="shared" si="22"/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23">C45+C54+C59+C62+C63</f>
        <v>0</v>
      </c>
      <c r="D65" s="61">
        <f t="shared" si="23"/>
        <v>0</v>
      </c>
      <c r="E65" s="61">
        <f t="shared" si="23"/>
        <v>0</v>
      </c>
      <c r="F65" s="61">
        <f t="shared" si="23"/>
        <v>0</v>
      </c>
      <c r="G65" s="61">
        <f t="shared" si="23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24">C68</f>
        <v>3628212.4</v>
      </c>
      <c r="D67" s="61">
        <f t="shared" si="24"/>
        <v>3628212.4</v>
      </c>
      <c r="E67" s="61">
        <f t="shared" si="24"/>
        <v>0</v>
      </c>
      <c r="F67" s="61">
        <f t="shared" si="24"/>
        <v>0</v>
      </c>
      <c r="G67" s="61">
        <f t="shared" si="24"/>
        <v>0</v>
      </c>
    </row>
    <row r="68" spans="1:7" x14ac:dyDescent="0.25">
      <c r="A68" s="53" t="s">
        <v>269</v>
      </c>
      <c r="B68" s="196">
        <v>0</v>
      </c>
      <c r="C68" s="196">
        <v>3628212.4</v>
      </c>
      <c r="D68" s="197">
        <f>B68+C68</f>
        <v>3628212.4</v>
      </c>
      <c r="E68" s="196">
        <v>0</v>
      </c>
      <c r="F68" s="196">
        <v>0</v>
      </c>
      <c r="G68" s="197">
        <f t="shared" ref="G68" si="25"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67312273</v>
      </c>
      <c r="C70" s="61">
        <f t="shared" ref="C70:G70" si="26">C41+C65+C67</f>
        <v>3628212.4</v>
      </c>
      <c r="D70" s="61">
        <f t="shared" si="26"/>
        <v>70940485.400000006</v>
      </c>
      <c r="E70" s="61">
        <f t="shared" si="26"/>
        <v>18101049.449999999</v>
      </c>
      <c r="F70" s="61">
        <f t="shared" si="26"/>
        <v>18101049.449999999</v>
      </c>
      <c r="G70" s="61">
        <f t="shared" si="26"/>
        <v>-49211223.549999997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196">
        <v>0</v>
      </c>
      <c r="C73" s="196">
        <v>3628212.4</v>
      </c>
      <c r="D73" s="197">
        <f t="shared" ref="D73:D74" si="27">B73+C73</f>
        <v>3628212.4</v>
      </c>
      <c r="E73" s="196">
        <v>0</v>
      </c>
      <c r="F73" s="196">
        <v>0</v>
      </c>
      <c r="G73" s="197">
        <f t="shared" ref="G73:G74" si="28">F73-B73</f>
        <v>0</v>
      </c>
    </row>
    <row r="74" spans="1:7" ht="30" x14ac:dyDescent="0.25">
      <c r="A74" s="129" t="s">
        <v>273</v>
      </c>
      <c r="B74" s="196">
        <v>0</v>
      </c>
      <c r="C74" s="196">
        <v>0</v>
      </c>
      <c r="D74" s="197">
        <f t="shared" si="27"/>
        <v>0</v>
      </c>
      <c r="E74" s="196">
        <v>0</v>
      </c>
      <c r="F74" s="196">
        <v>0</v>
      </c>
      <c r="G74" s="197">
        <f t="shared" si="28"/>
        <v>0</v>
      </c>
    </row>
    <row r="75" spans="1:7" x14ac:dyDescent="0.25">
      <c r="A75" s="119" t="s">
        <v>274</v>
      </c>
      <c r="B75" s="61">
        <f>B73+B74</f>
        <v>0</v>
      </c>
      <c r="C75" s="61">
        <f t="shared" ref="C75:G75" si="29">C73+C74</f>
        <v>3628212.4</v>
      </c>
      <c r="D75" s="61">
        <f t="shared" si="29"/>
        <v>3628212.4</v>
      </c>
      <c r="E75" s="61">
        <f t="shared" si="29"/>
        <v>0</v>
      </c>
      <c r="F75" s="61">
        <f t="shared" si="29"/>
        <v>0</v>
      </c>
      <c r="G75" s="61">
        <f t="shared" si="29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131672</v>
      </c>
      <c r="Q7" s="18">
        <f>'Formato 5'!C13</f>
        <v>0</v>
      </c>
      <c r="R7" s="18">
        <f>'Formato 5'!D13</f>
        <v>131672</v>
      </c>
      <c r="S7" s="18">
        <f>'Formato 5'!E13</f>
        <v>94161.919999999998</v>
      </c>
      <c r="T7" s="18">
        <f>'Formato 5'!F13</f>
        <v>94161.919999999998</v>
      </c>
      <c r="U7" s="18">
        <f>'Formato 5'!G13</f>
        <v>-37510.080000000002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65043281</v>
      </c>
      <c r="Q9" s="18">
        <f>'Formato 5'!C15</f>
        <v>0</v>
      </c>
      <c r="R9" s="18">
        <f>'Formato 5'!D15</f>
        <v>65043281</v>
      </c>
      <c r="S9" s="18">
        <f>'Formato 5'!E15</f>
        <v>16098957.529999999</v>
      </c>
      <c r="T9" s="18">
        <f>'Formato 5'!F15</f>
        <v>16098957.529999999</v>
      </c>
      <c r="U9" s="18">
        <f>'Formato 5'!G15</f>
        <v>-48944323.469999999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ht="14.25" x14ac:dyDescent="0.4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ht="14.25" x14ac:dyDescent="0.4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2137320</v>
      </c>
      <c r="Q29" s="18">
        <f>'Formato 5'!C35</f>
        <v>0</v>
      </c>
      <c r="R29" s="18">
        <f>'Formato 5'!D35</f>
        <v>2137320</v>
      </c>
      <c r="S29" s="18">
        <f>'Formato 5'!E35</f>
        <v>1907930</v>
      </c>
      <c r="T29" s="18">
        <f>'Formato 5'!F35</f>
        <v>1907930</v>
      </c>
      <c r="U29" s="18">
        <f>'Formato 5'!G35</f>
        <v>-229390</v>
      </c>
    </row>
    <row r="30" spans="1:21" ht="14.25" x14ac:dyDescent="0.4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2137320</v>
      </c>
      <c r="Q30" s="18">
        <f>'Formato 5'!C36</f>
        <v>0</v>
      </c>
      <c r="R30" s="18">
        <f>'Formato 5'!D36</f>
        <v>2137320</v>
      </c>
      <c r="S30" s="18">
        <f>'Formato 5'!E36</f>
        <v>1907930</v>
      </c>
      <c r="T30" s="18">
        <f>'Formato 5'!F36</f>
        <v>1907930</v>
      </c>
      <c r="U30" s="18">
        <f>'Formato 5'!G36</f>
        <v>-229390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67312273</v>
      </c>
      <c r="Q34">
        <f>'Formato 5'!C41</f>
        <v>0</v>
      </c>
      <c r="R34">
        <f>'Formato 5'!D41</f>
        <v>67312273</v>
      </c>
      <c r="S34">
        <f>'Formato 5'!E41</f>
        <v>18101049.449999999</v>
      </c>
      <c r="T34">
        <f>'Formato 5'!F41</f>
        <v>18101049.449999999</v>
      </c>
      <c r="U34">
        <f>'Formato 5'!G41</f>
        <v>-49211223.549999997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3628212.4</v>
      </c>
      <c r="R57">
        <f>'Formato 5'!D67</f>
        <v>3628212.4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3628212.4</v>
      </c>
      <c r="R58">
        <f>'Formato 5'!D68</f>
        <v>3628212.4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3628212.4</v>
      </c>
      <c r="R60">
        <f>'Formato 5'!D73</f>
        <v>3628212.4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3628212.4</v>
      </c>
      <c r="R62">
        <f>'Formato 5'!D75</f>
        <v>3628212.4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topLeftCell="B127" zoomScale="120" zoomScaleNormal="120" zoomScalePageLayoutView="90" workbookViewId="0">
      <selection activeCell="B151" sqref="B151:F157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3" t="s">
        <v>3285</v>
      </c>
      <c r="B1" s="172"/>
      <c r="C1" s="172"/>
      <c r="D1" s="172"/>
      <c r="E1" s="172"/>
      <c r="F1" s="172"/>
      <c r="G1" s="172"/>
    </row>
    <row r="2" spans="1:7" ht="14.25" x14ac:dyDescent="0.45">
      <c r="A2" s="176" t="str">
        <f>ENTE_PUBLICO_A</f>
        <v>JUNTA MUNICIPAL DE AGUA POTABLE Y ALCANTARILLADO DE CORTAZAR, GTO., Gobierno del Estado de Guanajuato (a)</v>
      </c>
      <c r="B2" s="176"/>
      <c r="C2" s="176"/>
      <c r="D2" s="176"/>
      <c r="E2" s="176"/>
      <c r="F2" s="176"/>
      <c r="G2" s="176"/>
    </row>
    <row r="3" spans="1:7" x14ac:dyDescent="0.25">
      <c r="A3" s="177" t="s">
        <v>277</v>
      </c>
      <c r="B3" s="177"/>
      <c r="C3" s="177"/>
      <c r="D3" s="177"/>
      <c r="E3" s="177"/>
      <c r="F3" s="177"/>
      <c r="G3" s="177"/>
    </row>
    <row r="4" spans="1:7" x14ac:dyDescent="0.25">
      <c r="A4" s="177" t="s">
        <v>278</v>
      </c>
      <c r="B4" s="177"/>
      <c r="C4" s="177"/>
      <c r="D4" s="177"/>
      <c r="E4" s="177"/>
      <c r="F4" s="177"/>
      <c r="G4" s="177"/>
    </row>
    <row r="5" spans="1:7" ht="14.25" x14ac:dyDescent="0.45">
      <c r="A5" s="178" t="str">
        <f>TRIMESTRE</f>
        <v>Del 1 de enero al 30 de marzo de 2020 (b)</v>
      </c>
      <c r="B5" s="178"/>
      <c r="C5" s="178"/>
      <c r="D5" s="178"/>
      <c r="E5" s="178"/>
      <c r="F5" s="178"/>
      <c r="G5" s="178"/>
    </row>
    <row r="6" spans="1:7" ht="14.25" x14ac:dyDescent="0.45">
      <c r="A6" s="170" t="s">
        <v>118</v>
      </c>
      <c r="B6" s="170"/>
      <c r="C6" s="170"/>
      <c r="D6" s="170"/>
      <c r="E6" s="170"/>
      <c r="F6" s="170"/>
      <c r="G6" s="170"/>
    </row>
    <row r="7" spans="1:7" ht="15" customHeight="1" x14ac:dyDescent="0.25">
      <c r="A7" s="174" t="s">
        <v>0</v>
      </c>
      <c r="B7" s="174" t="s">
        <v>279</v>
      </c>
      <c r="C7" s="174"/>
      <c r="D7" s="174"/>
      <c r="E7" s="174"/>
      <c r="F7" s="174"/>
      <c r="G7" s="175" t="s">
        <v>280</v>
      </c>
    </row>
    <row r="8" spans="1:7" ht="30" x14ac:dyDescent="0.25">
      <c r="A8" s="174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4"/>
    </row>
    <row r="9" spans="1:7" ht="14.25" x14ac:dyDescent="0.45">
      <c r="A9" s="82" t="s">
        <v>285</v>
      </c>
      <c r="B9" s="79">
        <f>SUM(B10,B18,B28,B38,B48,B58,B62,B71,B75)</f>
        <v>67312273</v>
      </c>
      <c r="C9" s="79">
        <f t="shared" ref="C9:G9" si="0">SUM(C10,C18,C28,C38,C48,C58,C62,C71,C75)</f>
        <v>3613183.1999999997</v>
      </c>
      <c r="D9" s="79">
        <f t="shared" si="0"/>
        <v>70925456.200000003</v>
      </c>
      <c r="E9" s="79">
        <f t="shared" si="0"/>
        <v>13957506.100000001</v>
      </c>
      <c r="F9" s="79">
        <f t="shared" si="0"/>
        <v>13955574.100000001</v>
      </c>
      <c r="G9" s="79">
        <f t="shared" si="0"/>
        <v>56967950.100000001</v>
      </c>
    </row>
    <row r="10" spans="1:7" ht="14.25" x14ac:dyDescent="0.45">
      <c r="A10" s="83" t="s">
        <v>286</v>
      </c>
      <c r="B10" s="80">
        <f>SUM(B11:B17)</f>
        <v>25882557</v>
      </c>
      <c r="C10" s="80">
        <f t="shared" ref="C10:F10" si="1">SUM(C11:C17)</f>
        <v>0</v>
      </c>
      <c r="D10" s="80">
        <f t="shared" si="1"/>
        <v>25882556.999999996</v>
      </c>
      <c r="E10" s="80">
        <f t="shared" si="1"/>
        <v>5103051.32</v>
      </c>
      <c r="F10" s="80">
        <f t="shared" si="1"/>
        <v>5103051.32</v>
      </c>
      <c r="G10" s="80">
        <f>SUM(G11:G17)</f>
        <v>20779505.68</v>
      </c>
    </row>
    <row r="11" spans="1:7" x14ac:dyDescent="0.25">
      <c r="A11" s="84" t="s">
        <v>287</v>
      </c>
      <c r="B11" s="198">
        <v>13329670</v>
      </c>
      <c r="C11" s="198">
        <v>0</v>
      </c>
      <c r="D11" s="199">
        <f>B11+C11</f>
        <v>13329670</v>
      </c>
      <c r="E11" s="198">
        <v>3075857.61</v>
      </c>
      <c r="F11" s="198">
        <v>3075857.61</v>
      </c>
      <c r="G11" s="199">
        <f>D11-E11</f>
        <v>10253812.390000001</v>
      </c>
    </row>
    <row r="12" spans="1:7" x14ac:dyDescent="0.25">
      <c r="A12" s="84" t="s">
        <v>288</v>
      </c>
      <c r="B12" s="198">
        <v>953742</v>
      </c>
      <c r="C12" s="198">
        <v>0</v>
      </c>
      <c r="D12" s="199">
        <f t="shared" ref="D12:D17" si="2">B12+C12</f>
        <v>953742</v>
      </c>
      <c r="E12" s="198">
        <v>170171.25</v>
      </c>
      <c r="F12" s="198">
        <v>170171.25</v>
      </c>
      <c r="G12" s="199">
        <f t="shared" ref="G12:G17" si="3">D12-E12</f>
        <v>783570.75</v>
      </c>
    </row>
    <row r="13" spans="1:7" x14ac:dyDescent="0.25">
      <c r="A13" s="84" t="s">
        <v>289</v>
      </c>
      <c r="B13" s="198">
        <v>2958786</v>
      </c>
      <c r="C13" s="198">
        <v>5318.79</v>
      </c>
      <c r="D13" s="199">
        <f t="shared" si="2"/>
        <v>2964104.79</v>
      </c>
      <c r="E13" s="198">
        <v>173338.64</v>
      </c>
      <c r="F13" s="198">
        <v>173338.64</v>
      </c>
      <c r="G13" s="199">
        <f t="shared" si="3"/>
        <v>2790766.15</v>
      </c>
    </row>
    <row r="14" spans="1:7" x14ac:dyDescent="0.25">
      <c r="A14" s="84" t="s">
        <v>290</v>
      </c>
      <c r="B14" s="198">
        <v>3391708</v>
      </c>
      <c r="C14" s="198">
        <v>0</v>
      </c>
      <c r="D14" s="199">
        <f t="shared" si="2"/>
        <v>3391708</v>
      </c>
      <c r="E14" s="198">
        <v>683095.09</v>
      </c>
      <c r="F14" s="198">
        <v>683095.09</v>
      </c>
      <c r="G14" s="199">
        <f t="shared" si="3"/>
        <v>2708612.91</v>
      </c>
    </row>
    <row r="15" spans="1:7" x14ac:dyDescent="0.25">
      <c r="A15" s="84" t="s">
        <v>291</v>
      </c>
      <c r="B15" s="198">
        <v>4198651</v>
      </c>
      <c r="C15" s="198">
        <v>32747.4</v>
      </c>
      <c r="D15" s="199">
        <f t="shared" si="2"/>
        <v>4231398.4000000004</v>
      </c>
      <c r="E15" s="198">
        <v>1000588.73</v>
      </c>
      <c r="F15" s="198">
        <v>1000588.73</v>
      </c>
      <c r="G15" s="199">
        <f t="shared" si="3"/>
        <v>3230809.6700000004</v>
      </c>
    </row>
    <row r="16" spans="1:7" x14ac:dyDescent="0.25">
      <c r="A16" s="84" t="s">
        <v>292</v>
      </c>
      <c r="B16" s="198">
        <v>1050000</v>
      </c>
      <c r="C16" s="198">
        <v>-38066.19</v>
      </c>
      <c r="D16" s="199">
        <f t="shared" si="2"/>
        <v>1011933.81</v>
      </c>
      <c r="E16" s="198">
        <v>0</v>
      </c>
      <c r="F16" s="198">
        <v>0</v>
      </c>
      <c r="G16" s="199">
        <f t="shared" si="3"/>
        <v>1011933.81</v>
      </c>
    </row>
    <row r="17" spans="1:7" x14ac:dyDescent="0.25">
      <c r="A17" s="84" t="s">
        <v>293</v>
      </c>
      <c r="B17" s="199"/>
      <c r="C17" s="199"/>
      <c r="D17" s="199">
        <f t="shared" si="2"/>
        <v>0</v>
      </c>
      <c r="E17" s="199"/>
      <c r="F17" s="199"/>
      <c r="G17" s="199">
        <f t="shared" si="3"/>
        <v>0</v>
      </c>
    </row>
    <row r="18" spans="1:7" ht="14.25" x14ac:dyDescent="0.45">
      <c r="A18" s="83" t="s">
        <v>294</v>
      </c>
      <c r="B18" s="80">
        <f>SUM(B19:B27)</f>
        <v>7836404</v>
      </c>
      <c r="C18" s="80">
        <f t="shared" ref="C18:F18" si="4">SUM(C19:C27)</f>
        <v>49266</v>
      </c>
      <c r="D18" s="80">
        <f t="shared" si="4"/>
        <v>7885670</v>
      </c>
      <c r="E18" s="80">
        <f t="shared" si="4"/>
        <v>1593073.67</v>
      </c>
      <c r="F18" s="80">
        <f t="shared" si="4"/>
        <v>1591141.67</v>
      </c>
      <c r="G18" s="80">
        <f>SUM(G19:G27)</f>
        <v>6292596.3299999991</v>
      </c>
    </row>
    <row r="19" spans="1:7" x14ac:dyDescent="0.25">
      <c r="A19" s="84" t="s">
        <v>295</v>
      </c>
      <c r="B19" s="198">
        <v>728027</v>
      </c>
      <c r="C19" s="198">
        <v>0</v>
      </c>
      <c r="D19" s="199">
        <f t="shared" ref="D19:D27" si="5">B19+C19</f>
        <v>728027</v>
      </c>
      <c r="E19" s="198">
        <v>157889.20000000001</v>
      </c>
      <c r="F19" s="198">
        <v>157889.20000000001</v>
      </c>
      <c r="G19" s="199">
        <f t="shared" ref="G19:G27" si="6">D19-E19</f>
        <v>570137.80000000005</v>
      </c>
    </row>
    <row r="20" spans="1:7" x14ac:dyDescent="0.25">
      <c r="A20" s="84" t="s">
        <v>296</v>
      </c>
      <c r="B20" s="198">
        <v>110489</v>
      </c>
      <c r="C20" s="198">
        <v>308</v>
      </c>
      <c r="D20" s="199">
        <f t="shared" si="5"/>
        <v>110797</v>
      </c>
      <c r="E20" s="198">
        <v>29036.57</v>
      </c>
      <c r="F20" s="198">
        <v>27734.57</v>
      </c>
      <c r="G20" s="199">
        <f t="shared" si="6"/>
        <v>81760.429999999993</v>
      </c>
    </row>
    <row r="21" spans="1:7" x14ac:dyDescent="0.25">
      <c r="A21" s="84" t="s">
        <v>297</v>
      </c>
      <c r="B21" s="199"/>
      <c r="C21" s="199"/>
      <c r="D21" s="199">
        <f t="shared" si="5"/>
        <v>0</v>
      </c>
      <c r="E21" s="199"/>
      <c r="F21" s="199"/>
      <c r="G21" s="199">
        <f t="shared" si="6"/>
        <v>0</v>
      </c>
    </row>
    <row r="22" spans="1:7" x14ac:dyDescent="0.25">
      <c r="A22" s="84" t="s">
        <v>298</v>
      </c>
      <c r="B22" s="198">
        <v>4355342</v>
      </c>
      <c r="C22" s="198">
        <v>45741</v>
      </c>
      <c r="D22" s="199">
        <f t="shared" si="5"/>
        <v>4401083</v>
      </c>
      <c r="E22" s="198">
        <v>747661.19</v>
      </c>
      <c r="F22" s="198">
        <v>747661.19</v>
      </c>
      <c r="G22" s="199">
        <f t="shared" si="6"/>
        <v>3653421.81</v>
      </c>
    </row>
    <row r="23" spans="1:7" x14ac:dyDescent="0.25">
      <c r="A23" s="84" t="s">
        <v>299</v>
      </c>
      <c r="B23" s="198">
        <v>682160</v>
      </c>
      <c r="C23" s="198">
        <v>0</v>
      </c>
      <c r="D23" s="199">
        <f t="shared" si="5"/>
        <v>682160</v>
      </c>
      <c r="E23" s="198">
        <v>146155.22</v>
      </c>
      <c r="F23" s="198">
        <v>146155.22</v>
      </c>
      <c r="G23" s="199">
        <f t="shared" si="6"/>
        <v>536004.78</v>
      </c>
    </row>
    <row r="24" spans="1:7" x14ac:dyDescent="0.25">
      <c r="A24" s="84" t="s">
        <v>300</v>
      </c>
      <c r="B24" s="198">
        <v>1187262</v>
      </c>
      <c r="C24" s="198">
        <v>0</v>
      </c>
      <c r="D24" s="199">
        <f t="shared" si="5"/>
        <v>1187262</v>
      </c>
      <c r="E24" s="198">
        <v>236789.57</v>
      </c>
      <c r="F24" s="198">
        <v>236789.57</v>
      </c>
      <c r="G24" s="199">
        <f t="shared" si="6"/>
        <v>950472.42999999993</v>
      </c>
    </row>
    <row r="25" spans="1:7" x14ac:dyDescent="0.25">
      <c r="A25" s="84" t="s">
        <v>301</v>
      </c>
      <c r="B25" s="198">
        <v>634228</v>
      </c>
      <c r="C25" s="198">
        <v>4480.8</v>
      </c>
      <c r="D25" s="199">
        <f t="shared" si="5"/>
        <v>638708.80000000005</v>
      </c>
      <c r="E25" s="198">
        <v>246124.28</v>
      </c>
      <c r="F25" s="198">
        <v>246124.28</v>
      </c>
      <c r="G25" s="199">
        <f t="shared" si="6"/>
        <v>392584.52</v>
      </c>
    </row>
    <row r="26" spans="1:7" x14ac:dyDescent="0.25">
      <c r="A26" s="84" t="s">
        <v>302</v>
      </c>
      <c r="B26" s="199"/>
      <c r="C26" s="199"/>
      <c r="D26" s="199">
        <f t="shared" si="5"/>
        <v>0</v>
      </c>
      <c r="E26" s="199"/>
      <c r="F26" s="199"/>
      <c r="G26" s="199">
        <f t="shared" si="6"/>
        <v>0</v>
      </c>
    </row>
    <row r="27" spans="1:7" x14ac:dyDescent="0.25">
      <c r="A27" s="84" t="s">
        <v>303</v>
      </c>
      <c r="B27" s="198">
        <v>138896</v>
      </c>
      <c r="C27" s="198">
        <v>-1263.8</v>
      </c>
      <c r="D27" s="199">
        <f t="shared" si="5"/>
        <v>137632.20000000001</v>
      </c>
      <c r="E27" s="198">
        <v>29417.64</v>
      </c>
      <c r="F27" s="198">
        <v>28787.64</v>
      </c>
      <c r="G27" s="199">
        <f t="shared" si="6"/>
        <v>108214.56000000001</v>
      </c>
    </row>
    <row r="28" spans="1:7" x14ac:dyDescent="0.25">
      <c r="A28" s="83" t="s">
        <v>304</v>
      </c>
      <c r="B28" s="80">
        <f>SUM(B29:B37)</f>
        <v>19171966</v>
      </c>
      <c r="C28" s="80">
        <f t="shared" ref="C28:G28" si="7">SUM(C29:C37)</f>
        <v>120675</v>
      </c>
      <c r="D28" s="80">
        <f t="shared" si="7"/>
        <v>19292641</v>
      </c>
      <c r="E28" s="80">
        <f t="shared" si="7"/>
        <v>4179995.86</v>
      </c>
      <c r="F28" s="80">
        <f t="shared" si="7"/>
        <v>4179995.86</v>
      </c>
      <c r="G28" s="80">
        <f t="shared" si="7"/>
        <v>15112645.140000001</v>
      </c>
    </row>
    <row r="29" spans="1:7" x14ac:dyDescent="0.25">
      <c r="A29" s="84" t="s">
        <v>305</v>
      </c>
      <c r="B29" s="198">
        <v>8821213</v>
      </c>
      <c r="C29" s="198">
        <v>0</v>
      </c>
      <c r="D29" s="199">
        <f t="shared" ref="D29:D37" si="8">B29+C29</f>
        <v>8821213</v>
      </c>
      <c r="E29" s="198">
        <v>2051417.97</v>
      </c>
      <c r="F29" s="198">
        <v>2051417.97</v>
      </c>
      <c r="G29" s="199">
        <f t="shared" ref="G29:G37" si="9">D29-E29</f>
        <v>6769795.0300000003</v>
      </c>
    </row>
    <row r="30" spans="1:7" x14ac:dyDescent="0.25">
      <c r="A30" s="84" t="s">
        <v>306</v>
      </c>
      <c r="B30" s="198">
        <v>17000</v>
      </c>
      <c r="C30" s="198">
        <v>0</v>
      </c>
      <c r="D30" s="199">
        <f t="shared" si="8"/>
        <v>17000</v>
      </c>
      <c r="E30" s="198">
        <v>0</v>
      </c>
      <c r="F30" s="198">
        <v>0</v>
      </c>
      <c r="G30" s="199">
        <f t="shared" si="9"/>
        <v>17000</v>
      </c>
    </row>
    <row r="31" spans="1:7" x14ac:dyDescent="0.25">
      <c r="A31" s="84" t="s">
        <v>307</v>
      </c>
      <c r="B31" s="198">
        <v>3456512</v>
      </c>
      <c r="C31" s="198">
        <v>117675</v>
      </c>
      <c r="D31" s="199">
        <f t="shared" si="8"/>
        <v>3574187</v>
      </c>
      <c r="E31" s="198">
        <v>706776.9</v>
      </c>
      <c r="F31" s="198">
        <v>706776.9</v>
      </c>
      <c r="G31" s="199">
        <f t="shared" si="9"/>
        <v>2867410.1</v>
      </c>
    </row>
    <row r="32" spans="1:7" x14ac:dyDescent="0.25">
      <c r="A32" s="84" t="s">
        <v>308</v>
      </c>
      <c r="B32" s="198">
        <v>866140</v>
      </c>
      <c r="C32" s="198">
        <v>0</v>
      </c>
      <c r="D32" s="199">
        <f t="shared" si="8"/>
        <v>866140</v>
      </c>
      <c r="E32" s="198">
        <v>207794.55</v>
      </c>
      <c r="F32" s="198">
        <v>207794.55</v>
      </c>
      <c r="G32" s="199">
        <f t="shared" si="9"/>
        <v>658345.44999999995</v>
      </c>
    </row>
    <row r="33" spans="1:7" x14ac:dyDescent="0.25">
      <c r="A33" s="84" t="s">
        <v>309</v>
      </c>
      <c r="B33" s="198">
        <v>2960432</v>
      </c>
      <c r="C33" s="198">
        <v>0</v>
      </c>
      <c r="D33" s="199">
        <f t="shared" si="8"/>
        <v>2960432</v>
      </c>
      <c r="E33" s="198">
        <v>542466.24</v>
      </c>
      <c r="F33" s="198">
        <v>542466.24</v>
      </c>
      <c r="G33" s="199">
        <f t="shared" si="9"/>
        <v>2417965.7599999998</v>
      </c>
    </row>
    <row r="34" spans="1:7" x14ac:dyDescent="0.25">
      <c r="A34" s="84" t="s">
        <v>310</v>
      </c>
      <c r="B34" s="198">
        <v>234200</v>
      </c>
      <c r="C34" s="198">
        <v>0</v>
      </c>
      <c r="D34" s="199">
        <f t="shared" si="8"/>
        <v>234200</v>
      </c>
      <c r="E34" s="198">
        <v>21717.57</v>
      </c>
      <c r="F34" s="198">
        <v>21717.57</v>
      </c>
      <c r="G34" s="199">
        <f t="shared" si="9"/>
        <v>212482.43</v>
      </c>
    </row>
    <row r="35" spans="1:7" x14ac:dyDescent="0.25">
      <c r="A35" s="84" t="s">
        <v>311</v>
      </c>
      <c r="B35" s="198">
        <v>52500</v>
      </c>
      <c r="C35" s="198">
        <v>0</v>
      </c>
      <c r="D35" s="199">
        <f t="shared" si="8"/>
        <v>52500</v>
      </c>
      <c r="E35" s="198">
        <v>1945.72</v>
      </c>
      <c r="F35" s="198">
        <v>1945.72</v>
      </c>
      <c r="G35" s="199">
        <f t="shared" si="9"/>
        <v>50554.28</v>
      </c>
    </row>
    <row r="36" spans="1:7" x14ac:dyDescent="0.25">
      <c r="A36" s="84" t="s">
        <v>312</v>
      </c>
      <c r="B36" s="198">
        <v>137000</v>
      </c>
      <c r="C36" s="198">
        <v>0</v>
      </c>
      <c r="D36" s="199">
        <f t="shared" si="8"/>
        <v>137000</v>
      </c>
      <c r="E36" s="198">
        <v>4697.03</v>
      </c>
      <c r="F36" s="198">
        <v>4697.03</v>
      </c>
      <c r="G36" s="199">
        <f t="shared" si="9"/>
        <v>132302.97</v>
      </c>
    </row>
    <row r="37" spans="1:7" x14ac:dyDescent="0.25">
      <c r="A37" s="84" t="s">
        <v>313</v>
      </c>
      <c r="B37" s="198">
        <v>2626969</v>
      </c>
      <c r="C37" s="198">
        <v>3000</v>
      </c>
      <c r="D37" s="199">
        <f t="shared" si="8"/>
        <v>2629969</v>
      </c>
      <c r="E37" s="198">
        <v>643179.88</v>
      </c>
      <c r="F37" s="198">
        <v>643179.88</v>
      </c>
      <c r="G37" s="199">
        <f t="shared" si="9"/>
        <v>1986789.12</v>
      </c>
    </row>
    <row r="38" spans="1:7" x14ac:dyDescent="0.25">
      <c r="A38" s="83" t="s">
        <v>314</v>
      </c>
      <c r="B38" s="80">
        <f>SUM(B39:B47)</f>
        <v>10000</v>
      </c>
      <c r="C38" s="80">
        <f t="shared" ref="C38:G38" si="10">SUM(C39:C47)</f>
        <v>0</v>
      </c>
      <c r="D38" s="80">
        <f t="shared" si="10"/>
        <v>10000</v>
      </c>
      <c r="E38" s="80">
        <f t="shared" si="10"/>
        <v>0</v>
      </c>
      <c r="F38" s="80">
        <f t="shared" si="10"/>
        <v>0</v>
      </c>
      <c r="G38" s="80">
        <f t="shared" si="10"/>
        <v>10000</v>
      </c>
    </row>
    <row r="39" spans="1:7" x14ac:dyDescent="0.25">
      <c r="A39" s="84" t="s">
        <v>315</v>
      </c>
      <c r="B39" s="199"/>
      <c r="C39" s="199"/>
      <c r="D39" s="199">
        <f t="shared" ref="D39:D47" si="11">B39+C39</f>
        <v>0</v>
      </c>
      <c r="E39" s="199"/>
      <c r="F39" s="199"/>
      <c r="G39" s="199">
        <f t="shared" ref="G39:G47" si="12">D39-E39</f>
        <v>0</v>
      </c>
    </row>
    <row r="40" spans="1:7" x14ac:dyDescent="0.25">
      <c r="A40" s="84" t="s">
        <v>316</v>
      </c>
      <c r="B40" s="199"/>
      <c r="C40" s="199"/>
      <c r="D40" s="199">
        <f t="shared" si="11"/>
        <v>0</v>
      </c>
      <c r="E40" s="199"/>
      <c r="F40" s="199"/>
      <c r="G40" s="199">
        <f t="shared" si="12"/>
        <v>0</v>
      </c>
    </row>
    <row r="41" spans="1:7" x14ac:dyDescent="0.25">
      <c r="A41" s="84" t="s">
        <v>317</v>
      </c>
      <c r="B41" s="199"/>
      <c r="C41" s="199"/>
      <c r="D41" s="199">
        <f t="shared" si="11"/>
        <v>0</v>
      </c>
      <c r="E41" s="199"/>
      <c r="F41" s="199"/>
      <c r="G41" s="199">
        <f t="shared" si="12"/>
        <v>0</v>
      </c>
    </row>
    <row r="42" spans="1:7" x14ac:dyDescent="0.25">
      <c r="A42" s="84" t="s">
        <v>318</v>
      </c>
      <c r="B42" s="198">
        <v>10000</v>
      </c>
      <c r="C42" s="198">
        <v>0</v>
      </c>
      <c r="D42" s="199">
        <f t="shared" si="11"/>
        <v>10000</v>
      </c>
      <c r="E42" s="198">
        <v>0</v>
      </c>
      <c r="F42" s="198">
        <v>0</v>
      </c>
      <c r="G42" s="199">
        <f t="shared" si="12"/>
        <v>10000</v>
      </c>
    </row>
    <row r="43" spans="1:7" x14ac:dyDescent="0.25">
      <c r="A43" s="84" t="s">
        <v>319</v>
      </c>
      <c r="B43" s="199"/>
      <c r="C43" s="199"/>
      <c r="D43" s="199">
        <f t="shared" si="11"/>
        <v>0</v>
      </c>
      <c r="E43" s="199"/>
      <c r="F43" s="199"/>
      <c r="G43" s="199">
        <f t="shared" si="12"/>
        <v>0</v>
      </c>
    </row>
    <row r="44" spans="1:7" x14ac:dyDescent="0.25">
      <c r="A44" s="84" t="s">
        <v>320</v>
      </c>
      <c r="B44" s="199"/>
      <c r="C44" s="199"/>
      <c r="D44" s="199">
        <f t="shared" si="11"/>
        <v>0</v>
      </c>
      <c r="E44" s="199"/>
      <c r="F44" s="199"/>
      <c r="G44" s="199">
        <f t="shared" si="12"/>
        <v>0</v>
      </c>
    </row>
    <row r="45" spans="1:7" x14ac:dyDescent="0.25">
      <c r="A45" s="84" t="s">
        <v>321</v>
      </c>
      <c r="B45" s="199"/>
      <c r="C45" s="199"/>
      <c r="D45" s="199">
        <f t="shared" si="11"/>
        <v>0</v>
      </c>
      <c r="E45" s="199"/>
      <c r="F45" s="199"/>
      <c r="G45" s="199">
        <f t="shared" si="12"/>
        <v>0</v>
      </c>
    </row>
    <row r="46" spans="1:7" x14ac:dyDescent="0.25">
      <c r="A46" s="84" t="s">
        <v>322</v>
      </c>
      <c r="B46" s="199"/>
      <c r="C46" s="199"/>
      <c r="D46" s="199">
        <f t="shared" si="11"/>
        <v>0</v>
      </c>
      <c r="E46" s="199"/>
      <c r="F46" s="199"/>
      <c r="G46" s="199">
        <f t="shared" si="12"/>
        <v>0</v>
      </c>
    </row>
    <row r="47" spans="1:7" x14ac:dyDescent="0.25">
      <c r="A47" s="84" t="s">
        <v>323</v>
      </c>
      <c r="B47" s="199"/>
      <c r="C47" s="199"/>
      <c r="D47" s="199">
        <f t="shared" si="11"/>
        <v>0</v>
      </c>
      <c r="E47" s="199"/>
      <c r="F47" s="199"/>
      <c r="G47" s="199">
        <f t="shared" si="12"/>
        <v>0</v>
      </c>
    </row>
    <row r="48" spans="1:7" x14ac:dyDescent="0.25">
      <c r="A48" s="83" t="s">
        <v>324</v>
      </c>
      <c r="B48" s="80">
        <f>SUM(B49:B57)</f>
        <v>1172681</v>
      </c>
      <c r="C48" s="80">
        <f t="shared" ref="C48:G48" si="13">SUM(C49:C57)</f>
        <v>242137.19</v>
      </c>
      <c r="D48" s="80">
        <f t="shared" si="13"/>
        <v>1414818.19</v>
      </c>
      <c r="E48" s="80">
        <f t="shared" si="13"/>
        <v>287213.88</v>
      </c>
      <c r="F48" s="80">
        <f t="shared" si="13"/>
        <v>287213.88</v>
      </c>
      <c r="G48" s="80">
        <f t="shared" si="13"/>
        <v>1127604.31</v>
      </c>
    </row>
    <row r="49" spans="1:7" x14ac:dyDescent="0.25">
      <c r="A49" s="84" t="s">
        <v>325</v>
      </c>
      <c r="B49" s="198">
        <v>423781</v>
      </c>
      <c r="C49" s="198">
        <v>0</v>
      </c>
      <c r="D49" s="199">
        <f t="shared" ref="D49:D57" si="14">B49+C49</f>
        <v>423781</v>
      </c>
      <c r="E49" s="198">
        <v>23356.69</v>
      </c>
      <c r="F49" s="198">
        <v>23356.69</v>
      </c>
      <c r="G49" s="199">
        <f t="shared" ref="G49:G57" si="15">D49-E49</f>
        <v>400424.31</v>
      </c>
    </row>
    <row r="50" spans="1:7" x14ac:dyDescent="0.25">
      <c r="A50" s="84" t="s">
        <v>326</v>
      </c>
      <c r="B50" s="198">
        <v>6500</v>
      </c>
      <c r="C50" s="198">
        <v>0</v>
      </c>
      <c r="D50" s="199">
        <f t="shared" si="14"/>
        <v>6500</v>
      </c>
      <c r="E50" s="198">
        <v>0</v>
      </c>
      <c r="F50" s="198">
        <v>0</v>
      </c>
      <c r="G50" s="199">
        <f t="shared" si="15"/>
        <v>6500</v>
      </c>
    </row>
    <row r="51" spans="1:7" x14ac:dyDescent="0.25">
      <c r="A51" s="84" t="s">
        <v>327</v>
      </c>
      <c r="B51" s="198">
        <v>0</v>
      </c>
      <c r="C51" s="198">
        <v>242137.19</v>
      </c>
      <c r="D51" s="199">
        <f t="shared" si="14"/>
        <v>242137.19</v>
      </c>
      <c r="E51" s="198">
        <v>242137.19</v>
      </c>
      <c r="F51" s="198">
        <v>242137.19</v>
      </c>
      <c r="G51" s="199">
        <f t="shared" si="15"/>
        <v>0</v>
      </c>
    </row>
    <row r="52" spans="1:7" x14ac:dyDescent="0.25">
      <c r="A52" s="84" t="s">
        <v>328</v>
      </c>
      <c r="B52" s="198">
        <v>351000</v>
      </c>
      <c r="C52" s="198">
        <v>0</v>
      </c>
      <c r="D52" s="199">
        <f t="shared" si="14"/>
        <v>351000</v>
      </c>
      <c r="E52" s="198">
        <v>0</v>
      </c>
      <c r="F52" s="198">
        <v>0</v>
      </c>
      <c r="G52" s="199">
        <f t="shared" si="15"/>
        <v>351000</v>
      </c>
    </row>
    <row r="53" spans="1:7" x14ac:dyDescent="0.25">
      <c r="A53" s="84" t="s">
        <v>329</v>
      </c>
      <c r="B53" s="199"/>
      <c r="C53" s="199"/>
      <c r="D53" s="199">
        <f t="shared" si="14"/>
        <v>0</v>
      </c>
      <c r="E53" s="199"/>
      <c r="F53" s="199"/>
      <c r="G53" s="199">
        <f t="shared" si="15"/>
        <v>0</v>
      </c>
    </row>
    <row r="54" spans="1:7" x14ac:dyDescent="0.25">
      <c r="A54" s="84" t="s">
        <v>330</v>
      </c>
      <c r="B54" s="198">
        <v>176000</v>
      </c>
      <c r="C54" s="198">
        <v>0</v>
      </c>
      <c r="D54" s="199">
        <f t="shared" si="14"/>
        <v>176000</v>
      </c>
      <c r="E54" s="198">
        <v>21720</v>
      </c>
      <c r="F54" s="198">
        <v>21720</v>
      </c>
      <c r="G54" s="199">
        <f t="shared" si="15"/>
        <v>154280</v>
      </c>
    </row>
    <row r="55" spans="1:7" x14ac:dyDescent="0.25">
      <c r="A55" s="84" t="s">
        <v>331</v>
      </c>
      <c r="B55" s="199"/>
      <c r="C55" s="199"/>
      <c r="D55" s="199">
        <f t="shared" si="14"/>
        <v>0</v>
      </c>
      <c r="E55" s="199"/>
      <c r="F55" s="199"/>
      <c r="G55" s="199">
        <f t="shared" si="15"/>
        <v>0</v>
      </c>
    </row>
    <row r="56" spans="1:7" x14ac:dyDescent="0.25">
      <c r="A56" s="84" t="s">
        <v>332</v>
      </c>
      <c r="B56" s="199"/>
      <c r="C56" s="199"/>
      <c r="D56" s="199">
        <f t="shared" si="14"/>
        <v>0</v>
      </c>
      <c r="E56" s="199"/>
      <c r="F56" s="199"/>
      <c r="G56" s="199">
        <f t="shared" si="15"/>
        <v>0</v>
      </c>
    </row>
    <row r="57" spans="1:7" x14ac:dyDescent="0.25">
      <c r="A57" s="84" t="s">
        <v>333</v>
      </c>
      <c r="B57" s="198">
        <v>215400</v>
      </c>
      <c r="C57" s="198">
        <v>0</v>
      </c>
      <c r="D57" s="199">
        <f t="shared" si="14"/>
        <v>215400</v>
      </c>
      <c r="E57" s="198">
        <v>0</v>
      </c>
      <c r="F57" s="198">
        <v>0</v>
      </c>
      <c r="G57" s="199">
        <f t="shared" si="15"/>
        <v>215400</v>
      </c>
    </row>
    <row r="58" spans="1:7" x14ac:dyDescent="0.25">
      <c r="A58" s="83" t="s">
        <v>334</v>
      </c>
      <c r="B58" s="80">
        <f>SUM(B59:B61)</f>
        <v>13238665</v>
      </c>
      <c r="C58" s="80">
        <f t="shared" ref="C58:G58" si="16">SUM(C59:C61)</f>
        <v>3201105.01</v>
      </c>
      <c r="D58" s="80">
        <f t="shared" si="16"/>
        <v>16439770.01</v>
      </c>
      <c r="E58" s="80">
        <f t="shared" si="16"/>
        <v>2794171.37</v>
      </c>
      <c r="F58" s="80">
        <f t="shared" si="16"/>
        <v>2794171.37</v>
      </c>
      <c r="G58" s="80">
        <f t="shared" si="16"/>
        <v>13645598.640000001</v>
      </c>
    </row>
    <row r="59" spans="1:7" x14ac:dyDescent="0.25">
      <c r="A59" s="84" t="s">
        <v>335</v>
      </c>
      <c r="B59" s="198">
        <v>13178665</v>
      </c>
      <c r="C59" s="198">
        <v>2486168.73</v>
      </c>
      <c r="D59" s="199">
        <f t="shared" ref="D59:D61" si="17">B59+C59</f>
        <v>15664833.73</v>
      </c>
      <c r="E59" s="198">
        <v>2117708.94</v>
      </c>
      <c r="F59" s="198">
        <v>2117708.94</v>
      </c>
      <c r="G59" s="199">
        <f t="shared" ref="G59:G61" si="18">D59-E59</f>
        <v>13547124.790000001</v>
      </c>
    </row>
    <row r="60" spans="1:7" x14ac:dyDescent="0.25">
      <c r="A60" s="84" t="s">
        <v>336</v>
      </c>
      <c r="B60" s="199"/>
      <c r="C60" s="199"/>
      <c r="D60" s="199">
        <f t="shared" si="17"/>
        <v>0</v>
      </c>
      <c r="E60" s="199"/>
      <c r="F60" s="199"/>
      <c r="G60" s="199">
        <f t="shared" si="18"/>
        <v>0</v>
      </c>
    </row>
    <row r="61" spans="1:7" x14ac:dyDescent="0.25">
      <c r="A61" s="84" t="s">
        <v>337</v>
      </c>
      <c r="B61" s="198">
        <v>60000</v>
      </c>
      <c r="C61" s="198">
        <v>714936.28</v>
      </c>
      <c r="D61" s="199">
        <f t="shared" si="17"/>
        <v>774936.28</v>
      </c>
      <c r="E61" s="198">
        <v>676462.43</v>
      </c>
      <c r="F61" s="198">
        <v>676462.43</v>
      </c>
      <c r="G61" s="199">
        <f t="shared" si="18"/>
        <v>98473.849999999977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9">SUM(C63:C67,C69:C70)</f>
        <v>0</v>
      </c>
      <c r="D62" s="80">
        <f t="shared" si="19"/>
        <v>0</v>
      </c>
      <c r="E62" s="80">
        <f t="shared" si="19"/>
        <v>0</v>
      </c>
      <c r="F62" s="80">
        <f t="shared" si="19"/>
        <v>0</v>
      </c>
      <c r="G62" s="80">
        <f t="shared" si="19"/>
        <v>0</v>
      </c>
    </row>
    <row r="63" spans="1:7" x14ac:dyDescent="0.25">
      <c r="A63" s="84" t="s">
        <v>339</v>
      </c>
      <c r="B63" s="199"/>
      <c r="C63" s="199"/>
      <c r="D63" s="199">
        <f t="shared" ref="D63:D70" si="20">B63+C63</f>
        <v>0</v>
      </c>
      <c r="E63" s="199"/>
      <c r="F63" s="199"/>
      <c r="G63" s="199">
        <f t="shared" ref="G63:G70" si="21">D63-E63</f>
        <v>0</v>
      </c>
    </row>
    <row r="64" spans="1:7" x14ac:dyDescent="0.25">
      <c r="A64" s="84" t="s">
        <v>340</v>
      </c>
      <c r="B64" s="199"/>
      <c r="C64" s="199"/>
      <c r="D64" s="199">
        <f t="shared" si="20"/>
        <v>0</v>
      </c>
      <c r="E64" s="199"/>
      <c r="F64" s="199"/>
      <c r="G64" s="199">
        <f t="shared" si="21"/>
        <v>0</v>
      </c>
    </row>
    <row r="65" spans="1:7" x14ac:dyDescent="0.25">
      <c r="A65" s="84" t="s">
        <v>341</v>
      </c>
      <c r="B65" s="199"/>
      <c r="C65" s="199"/>
      <c r="D65" s="199">
        <f t="shared" si="20"/>
        <v>0</v>
      </c>
      <c r="E65" s="199"/>
      <c r="F65" s="199"/>
      <c r="G65" s="199">
        <f t="shared" si="21"/>
        <v>0</v>
      </c>
    </row>
    <row r="66" spans="1:7" x14ac:dyDescent="0.25">
      <c r="A66" s="84" t="s">
        <v>342</v>
      </c>
      <c r="B66" s="199"/>
      <c r="C66" s="199"/>
      <c r="D66" s="199">
        <f t="shared" si="20"/>
        <v>0</v>
      </c>
      <c r="E66" s="199"/>
      <c r="F66" s="199"/>
      <c r="G66" s="199">
        <f t="shared" si="21"/>
        <v>0</v>
      </c>
    </row>
    <row r="67" spans="1:7" x14ac:dyDescent="0.25">
      <c r="A67" s="84" t="s">
        <v>343</v>
      </c>
      <c r="B67" s="199"/>
      <c r="C67" s="199"/>
      <c r="D67" s="199">
        <f t="shared" si="20"/>
        <v>0</v>
      </c>
      <c r="E67" s="199"/>
      <c r="F67" s="199"/>
      <c r="G67" s="199">
        <f t="shared" si="21"/>
        <v>0</v>
      </c>
    </row>
    <row r="68" spans="1:7" x14ac:dyDescent="0.25">
      <c r="A68" s="84" t="s">
        <v>3301</v>
      </c>
      <c r="B68" s="199"/>
      <c r="C68" s="199"/>
      <c r="D68" s="199">
        <f t="shared" si="20"/>
        <v>0</v>
      </c>
      <c r="E68" s="199"/>
      <c r="F68" s="199"/>
      <c r="G68" s="199">
        <f t="shared" si="21"/>
        <v>0</v>
      </c>
    </row>
    <row r="69" spans="1:7" x14ac:dyDescent="0.25">
      <c r="A69" s="84" t="s">
        <v>345</v>
      </c>
      <c r="B69" s="199"/>
      <c r="C69" s="199"/>
      <c r="D69" s="199">
        <f t="shared" si="20"/>
        <v>0</v>
      </c>
      <c r="E69" s="199"/>
      <c r="F69" s="199"/>
      <c r="G69" s="199">
        <f t="shared" si="21"/>
        <v>0</v>
      </c>
    </row>
    <row r="70" spans="1:7" x14ac:dyDescent="0.25">
      <c r="A70" s="84" t="s">
        <v>346</v>
      </c>
      <c r="B70" s="199"/>
      <c r="C70" s="199"/>
      <c r="D70" s="199">
        <f t="shared" si="20"/>
        <v>0</v>
      </c>
      <c r="E70" s="199"/>
      <c r="F70" s="199"/>
      <c r="G70" s="199">
        <f t="shared" si="21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22">SUM(C72:C74)</f>
        <v>0</v>
      </c>
      <c r="D71" s="80">
        <f t="shared" si="22"/>
        <v>0</v>
      </c>
      <c r="E71" s="80">
        <f t="shared" si="22"/>
        <v>0</v>
      </c>
      <c r="F71" s="80">
        <f t="shared" si="22"/>
        <v>0</v>
      </c>
      <c r="G71" s="80">
        <f t="shared" si="22"/>
        <v>0</v>
      </c>
    </row>
    <row r="72" spans="1:7" x14ac:dyDescent="0.25">
      <c r="A72" s="84" t="s">
        <v>348</v>
      </c>
      <c r="B72" s="199"/>
      <c r="C72" s="199"/>
      <c r="D72" s="199">
        <f t="shared" ref="D72:D74" si="23">B72+C72</f>
        <v>0</v>
      </c>
      <c r="E72" s="199"/>
      <c r="F72" s="199"/>
      <c r="G72" s="199">
        <f t="shared" ref="G72:G74" si="24">D72-E72</f>
        <v>0</v>
      </c>
    </row>
    <row r="73" spans="1:7" x14ac:dyDescent="0.25">
      <c r="A73" s="84" t="s">
        <v>349</v>
      </c>
      <c r="B73" s="199"/>
      <c r="C73" s="199"/>
      <c r="D73" s="199">
        <f t="shared" si="23"/>
        <v>0</v>
      </c>
      <c r="E73" s="199"/>
      <c r="F73" s="199"/>
      <c r="G73" s="199">
        <f t="shared" si="24"/>
        <v>0</v>
      </c>
    </row>
    <row r="74" spans="1:7" x14ac:dyDescent="0.25">
      <c r="A74" s="84" t="s">
        <v>350</v>
      </c>
      <c r="B74" s="199"/>
      <c r="C74" s="199"/>
      <c r="D74" s="199">
        <f t="shared" si="23"/>
        <v>0</v>
      </c>
      <c r="E74" s="199"/>
      <c r="F74" s="199"/>
      <c r="G74" s="199">
        <f t="shared" si="24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25">SUM(C76:C82)</f>
        <v>0</v>
      </c>
      <c r="D75" s="80">
        <f t="shared" si="25"/>
        <v>0</v>
      </c>
      <c r="E75" s="80">
        <f t="shared" si="25"/>
        <v>0</v>
      </c>
      <c r="F75" s="80">
        <f t="shared" si="25"/>
        <v>0</v>
      </c>
      <c r="G75" s="80">
        <f t="shared" si="25"/>
        <v>0</v>
      </c>
    </row>
    <row r="76" spans="1:7" x14ac:dyDescent="0.25">
      <c r="A76" s="84" t="s">
        <v>352</v>
      </c>
      <c r="B76" s="199"/>
      <c r="C76" s="199"/>
      <c r="D76" s="199">
        <f t="shared" ref="D76:D82" si="26">B76+C76</f>
        <v>0</v>
      </c>
      <c r="E76" s="199"/>
      <c r="F76" s="199"/>
      <c r="G76" s="199">
        <f t="shared" ref="G76:G82" si="27">D76-E76</f>
        <v>0</v>
      </c>
    </row>
    <row r="77" spans="1:7" x14ac:dyDescent="0.25">
      <c r="A77" s="84" t="s">
        <v>353</v>
      </c>
      <c r="B77" s="199"/>
      <c r="C77" s="199"/>
      <c r="D77" s="199">
        <f t="shared" si="26"/>
        <v>0</v>
      </c>
      <c r="E77" s="199"/>
      <c r="F77" s="199"/>
      <c r="G77" s="199">
        <f t="shared" si="27"/>
        <v>0</v>
      </c>
    </row>
    <row r="78" spans="1:7" x14ac:dyDescent="0.25">
      <c r="A78" s="84" t="s">
        <v>354</v>
      </c>
      <c r="B78" s="199"/>
      <c r="C78" s="199"/>
      <c r="D78" s="199">
        <f t="shared" si="26"/>
        <v>0</v>
      </c>
      <c r="E78" s="199"/>
      <c r="F78" s="199"/>
      <c r="G78" s="199">
        <f t="shared" si="27"/>
        <v>0</v>
      </c>
    </row>
    <row r="79" spans="1:7" x14ac:dyDescent="0.25">
      <c r="A79" s="84" t="s">
        <v>355</v>
      </c>
      <c r="B79" s="199"/>
      <c r="C79" s="199"/>
      <c r="D79" s="199">
        <f t="shared" si="26"/>
        <v>0</v>
      </c>
      <c r="E79" s="199"/>
      <c r="F79" s="199"/>
      <c r="G79" s="199">
        <f t="shared" si="27"/>
        <v>0</v>
      </c>
    </row>
    <row r="80" spans="1:7" x14ac:dyDescent="0.25">
      <c r="A80" s="84" t="s">
        <v>356</v>
      </c>
      <c r="B80" s="199"/>
      <c r="C80" s="199"/>
      <c r="D80" s="199">
        <f t="shared" si="26"/>
        <v>0</v>
      </c>
      <c r="E80" s="199"/>
      <c r="F80" s="199"/>
      <c r="G80" s="199">
        <f t="shared" si="27"/>
        <v>0</v>
      </c>
    </row>
    <row r="81" spans="1:7" x14ac:dyDescent="0.25">
      <c r="A81" s="84" t="s">
        <v>357</v>
      </c>
      <c r="B81" s="199"/>
      <c r="C81" s="199"/>
      <c r="D81" s="199">
        <f t="shared" si="26"/>
        <v>0</v>
      </c>
      <c r="E81" s="199"/>
      <c r="F81" s="199"/>
      <c r="G81" s="199">
        <f t="shared" si="27"/>
        <v>0</v>
      </c>
    </row>
    <row r="82" spans="1:7" x14ac:dyDescent="0.25">
      <c r="A82" s="84" t="s">
        <v>358</v>
      </c>
      <c r="B82" s="199"/>
      <c r="C82" s="199"/>
      <c r="D82" s="199">
        <f t="shared" si="26"/>
        <v>0</v>
      </c>
      <c r="E82" s="199"/>
      <c r="F82" s="199"/>
      <c r="G82" s="199">
        <f t="shared" si="27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28">SUM(C85,C93,C103,C113,C123,C133,C137,C146,C150)</f>
        <v>0</v>
      </c>
      <c r="D84" s="79">
        <f t="shared" si="28"/>
        <v>0</v>
      </c>
      <c r="E84" s="79">
        <f t="shared" si="28"/>
        <v>0</v>
      </c>
      <c r="F84" s="79">
        <f t="shared" si="28"/>
        <v>0</v>
      </c>
      <c r="G84" s="79">
        <f t="shared" si="28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9">SUM(C86:C92)</f>
        <v>0</v>
      </c>
      <c r="D85" s="80">
        <f t="shared" si="29"/>
        <v>0</v>
      </c>
      <c r="E85" s="80">
        <f t="shared" si="29"/>
        <v>0</v>
      </c>
      <c r="F85" s="80">
        <f t="shared" si="29"/>
        <v>0</v>
      </c>
      <c r="G85" s="80">
        <f t="shared" si="29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30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30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30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30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30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30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31">SUM(C94:C102)</f>
        <v>0</v>
      </c>
      <c r="D93" s="80">
        <f t="shared" si="31"/>
        <v>0</v>
      </c>
      <c r="E93" s="80">
        <f t="shared" si="31"/>
        <v>0</v>
      </c>
      <c r="F93" s="80">
        <f t="shared" si="31"/>
        <v>0</v>
      </c>
      <c r="G93" s="80">
        <f t="shared" si="31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32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32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32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32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32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32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32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32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33">SUM(D104:D112)</f>
        <v>0</v>
      </c>
      <c r="E103" s="80">
        <f t="shared" si="33"/>
        <v>0</v>
      </c>
      <c r="F103" s="80">
        <f t="shared" si="33"/>
        <v>0</v>
      </c>
      <c r="G103" s="80">
        <f t="shared" si="33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34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34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34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34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34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34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34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34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35">SUM(C114:C122)</f>
        <v>0</v>
      </c>
      <c r="D113" s="80">
        <f t="shared" si="35"/>
        <v>0</v>
      </c>
      <c r="E113" s="80">
        <f t="shared" si="35"/>
        <v>0</v>
      </c>
      <c r="F113" s="80">
        <f t="shared" si="35"/>
        <v>0</v>
      </c>
      <c r="G113" s="80">
        <f t="shared" si="35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36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36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36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36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36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36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36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36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37">SUM(C124:C132)</f>
        <v>0</v>
      </c>
      <c r="D123" s="80">
        <f t="shared" si="37"/>
        <v>0</v>
      </c>
      <c r="E123" s="80">
        <f t="shared" si="37"/>
        <v>0</v>
      </c>
      <c r="F123" s="80">
        <f t="shared" si="37"/>
        <v>0</v>
      </c>
      <c r="G123" s="80">
        <f t="shared" si="37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38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38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38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38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38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38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38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38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9">SUM(C134:C136)</f>
        <v>0</v>
      </c>
      <c r="D133" s="80">
        <f t="shared" si="39"/>
        <v>0</v>
      </c>
      <c r="E133" s="80">
        <f t="shared" si="39"/>
        <v>0</v>
      </c>
      <c r="F133" s="80">
        <f t="shared" si="39"/>
        <v>0</v>
      </c>
      <c r="G133" s="80">
        <f t="shared" si="39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40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40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41">SUM(C138:C142,C144:C145)</f>
        <v>0</v>
      </c>
      <c r="D137" s="80">
        <f t="shared" si="41"/>
        <v>0</v>
      </c>
      <c r="E137" s="80">
        <f t="shared" si="41"/>
        <v>0</v>
      </c>
      <c r="F137" s="80">
        <f t="shared" si="41"/>
        <v>0</v>
      </c>
      <c r="G137" s="80">
        <f t="shared" si="41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42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42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42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42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42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42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42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43">SUM(C147:C149)</f>
        <v>0</v>
      </c>
      <c r="D146" s="80">
        <f t="shared" si="43"/>
        <v>0</v>
      </c>
      <c r="E146" s="80">
        <f t="shared" si="43"/>
        <v>0</v>
      </c>
      <c r="F146" s="80">
        <f t="shared" si="43"/>
        <v>0</v>
      </c>
      <c r="G146" s="80">
        <f t="shared" si="43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44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44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45">SUM(C151:C157)</f>
        <v>0</v>
      </c>
      <c r="D150" s="80">
        <f t="shared" si="45"/>
        <v>0</v>
      </c>
      <c r="E150" s="80">
        <f t="shared" si="45"/>
        <v>0</v>
      </c>
      <c r="F150" s="80">
        <f t="shared" si="45"/>
        <v>0</v>
      </c>
      <c r="G150" s="80">
        <f t="shared" si="45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46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46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46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46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46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46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67312273</v>
      </c>
      <c r="C159" s="79">
        <f t="shared" ref="C159:G159" si="47">C9+C84</f>
        <v>3613183.1999999997</v>
      </c>
      <c r="D159" s="79">
        <f t="shared" si="47"/>
        <v>70925456.200000003</v>
      </c>
      <c r="E159" s="79">
        <f t="shared" si="47"/>
        <v>13957506.100000001</v>
      </c>
      <c r="F159" s="79">
        <f t="shared" si="47"/>
        <v>13955574.100000001</v>
      </c>
      <c r="G159" s="79">
        <f t="shared" si="47"/>
        <v>56967950.100000001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t="14.25" hidden="1" x14ac:dyDescent="0.4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67312273</v>
      </c>
      <c r="Q2" s="18">
        <f>'Formato 6 a)'!C9</f>
        <v>3613183.1999999997</v>
      </c>
      <c r="R2" s="18">
        <f>'Formato 6 a)'!D9</f>
        <v>70925456.200000003</v>
      </c>
      <c r="S2" s="18">
        <f>'Formato 6 a)'!E9</f>
        <v>13957506.100000001</v>
      </c>
      <c r="T2" s="18">
        <f>'Formato 6 a)'!F9</f>
        <v>13955574.100000001</v>
      </c>
      <c r="U2" s="18">
        <f>'Formato 6 a)'!G9</f>
        <v>56967950.100000001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25882557</v>
      </c>
      <c r="Q3" s="18">
        <f>'Formato 6 a)'!C10</f>
        <v>0</v>
      </c>
      <c r="R3" s="18">
        <f>'Formato 6 a)'!D10</f>
        <v>25882556.999999996</v>
      </c>
      <c r="S3" s="18">
        <f>'Formato 6 a)'!E10</f>
        <v>5103051.32</v>
      </c>
      <c r="T3" s="18">
        <f>'Formato 6 a)'!F10</f>
        <v>5103051.32</v>
      </c>
      <c r="U3" s="18">
        <f>'Formato 6 a)'!G10</f>
        <v>20779505.68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13329670</v>
      </c>
      <c r="Q4" s="18">
        <f>'Formato 6 a)'!C11</f>
        <v>0</v>
      </c>
      <c r="R4" s="18">
        <f>'Formato 6 a)'!D11</f>
        <v>13329670</v>
      </c>
      <c r="S4" s="18">
        <f>'Formato 6 a)'!E11</f>
        <v>3075857.61</v>
      </c>
      <c r="T4" s="18">
        <f>'Formato 6 a)'!F11</f>
        <v>3075857.61</v>
      </c>
      <c r="U4" s="18">
        <f>'Formato 6 a)'!G11</f>
        <v>10253812.390000001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953742</v>
      </c>
      <c r="Q5" s="18">
        <f>'Formato 6 a)'!C12</f>
        <v>0</v>
      </c>
      <c r="R5" s="18">
        <f>'Formato 6 a)'!D12</f>
        <v>953742</v>
      </c>
      <c r="S5" s="18">
        <f>'Formato 6 a)'!E12</f>
        <v>170171.25</v>
      </c>
      <c r="T5" s="18">
        <f>'Formato 6 a)'!F12</f>
        <v>170171.25</v>
      </c>
      <c r="U5" s="18">
        <f>'Formato 6 a)'!G12</f>
        <v>783570.75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2958786</v>
      </c>
      <c r="Q6" s="18">
        <f>'Formato 6 a)'!C13</f>
        <v>5318.79</v>
      </c>
      <c r="R6" s="18">
        <f>'Formato 6 a)'!D13</f>
        <v>2964104.79</v>
      </c>
      <c r="S6" s="18">
        <f>'Formato 6 a)'!E13</f>
        <v>173338.64</v>
      </c>
      <c r="T6" s="18">
        <f>'Formato 6 a)'!F13</f>
        <v>173338.64</v>
      </c>
      <c r="U6" s="18">
        <f>'Formato 6 a)'!G13</f>
        <v>2790766.15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3391708</v>
      </c>
      <c r="Q7" s="18">
        <f>'Formato 6 a)'!C14</f>
        <v>0</v>
      </c>
      <c r="R7" s="18">
        <f>'Formato 6 a)'!D14</f>
        <v>3391708</v>
      </c>
      <c r="S7" s="18">
        <f>'Formato 6 a)'!E14</f>
        <v>683095.09</v>
      </c>
      <c r="T7" s="18">
        <f>'Formato 6 a)'!F14</f>
        <v>683095.09</v>
      </c>
      <c r="U7" s="18">
        <f>'Formato 6 a)'!G14</f>
        <v>2708612.91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4198651</v>
      </c>
      <c r="Q8" s="18">
        <f>'Formato 6 a)'!C15</f>
        <v>32747.4</v>
      </c>
      <c r="R8" s="18">
        <f>'Formato 6 a)'!D15</f>
        <v>4231398.4000000004</v>
      </c>
      <c r="S8" s="18">
        <f>'Formato 6 a)'!E15</f>
        <v>1000588.73</v>
      </c>
      <c r="T8" s="18">
        <f>'Formato 6 a)'!F15</f>
        <v>1000588.73</v>
      </c>
      <c r="U8" s="18">
        <f>'Formato 6 a)'!G15</f>
        <v>3230809.6700000004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1050000</v>
      </c>
      <c r="Q9" s="18">
        <f>'Formato 6 a)'!C16</f>
        <v>-38066.19</v>
      </c>
      <c r="R9" s="18">
        <f>'Formato 6 a)'!D16</f>
        <v>1011933.81</v>
      </c>
      <c r="S9" s="18">
        <f>'Formato 6 a)'!E16</f>
        <v>0</v>
      </c>
      <c r="T9" s="18">
        <f>'Formato 6 a)'!F16</f>
        <v>0</v>
      </c>
      <c r="U9" s="18">
        <f>'Formato 6 a)'!G16</f>
        <v>1011933.81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7836404</v>
      </c>
      <c r="Q11" s="18">
        <f>'Formato 6 a)'!C18</f>
        <v>49266</v>
      </c>
      <c r="R11" s="18">
        <f>'Formato 6 a)'!D18</f>
        <v>7885670</v>
      </c>
      <c r="S11" s="18">
        <f>'Formato 6 a)'!E18</f>
        <v>1593073.67</v>
      </c>
      <c r="T11" s="18">
        <f>'Formato 6 a)'!F18</f>
        <v>1591141.67</v>
      </c>
      <c r="U11" s="18">
        <f>'Formato 6 a)'!G18</f>
        <v>6292596.3299999991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728027</v>
      </c>
      <c r="Q12" s="18">
        <f>'Formato 6 a)'!C19</f>
        <v>0</v>
      </c>
      <c r="R12" s="18">
        <f>'Formato 6 a)'!D19</f>
        <v>728027</v>
      </c>
      <c r="S12" s="18">
        <f>'Formato 6 a)'!E19</f>
        <v>157889.20000000001</v>
      </c>
      <c r="T12" s="18">
        <f>'Formato 6 a)'!F19</f>
        <v>157889.20000000001</v>
      </c>
      <c r="U12" s="18">
        <f>'Formato 6 a)'!G19</f>
        <v>570137.80000000005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110489</v>
      </c>
      <c r="Q13" s="18">
        <f>'Formato 6 a)'!C20</f>
        <v>308</v>
      </c>
      <c r="R13" s="18">
        <f>'Formato 6 a)'!D20</f>
        <v>110797</v>
      </c>
      <c r="S13" s="18">
        <f>'Formato 6 a)'!E20</f>
        <v>29036.57</v>
      </c>
      <c r="T13" s="18">
        <f>'Formato 6 a)'!F20</f>
        <v>27734.57</v>
      </c>
      <c r="U13" s="18">
        <f>'Formato 6 a)'!G20</f>
        <v>81760.429999999993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4355342</v>
      </c>
      <c r="Q15" s="18">
        <f>'Formato 6 a)'!C22</f>
        <v>45741</v>
      </c>
      <c r="R15" s="18">
        <f>'Formato 6 a)'!D22</f>
        <v>4401083</v>
      </c>
      <c r="S15" s="18">
        <f>'Formato 6 a)'!E22</f>
        <v>747661.19</v>
      </c>
      <c r="T15" s="18">
        <f>'Formato 6 a)'!F22</f>
        <v>747661.19</v>
      </c>
      <c r="U15" s="18">
        <f>'Formato 6 a)'!G22</f>
        <v>3653421.81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682160</v>
      </c>
      <c r="Q16" s="18">
        <f>'Formato 6 a)'!C23</f>
        <v>0</v>
      </c>
      <c r="R16" s="18">
        <f>'Formato 6 a)'!D23</f>
        <v>682160</v>
      </c>
      <c r="S16" s="18">
        <f>'Formato 6 a)'!E23</f>
        <v>146155.22</v>
      </c>
      <c r="T16" s="18">
        <f>'Formato 6 a)'!F23</f>
        <v>146155.22</v>
      </c>
      <c r="U16" s="18">
        <f>'Formato 6 a)'!G23</f>
        <v>536004.78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1187262</v>
      </c>
      <c r="Q17" s="18">
        <f>'Formato 6 a)'!C24</f>
        <v>0</v>
      </c>
      <c r="R17" s="18">
        <f>'Formato 6 a)'!D24</f>
        <v>1187262</v>
      </c>
      <c r="S17" s="18">
        <f>'Formato 6 a)'!E24</f>
        <v>236789.57</v>
      </c>
      <c r="T17" s="18">
        <f>'Formato 6 a)'!F24</f>
        <v>236789.57</v>
      </c>
      <c r="U17" s="18">
        <f>'Formato 6 a)'!G24</f>
        <v>950472.42999999993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634228</v>
      </c>
      <c r="Q18" s="18">
        <f>'Formato 6 a)'!C25</f>
        <v>4480.8</v>
      </c>
      <c r="R18" s="18">
        <f>'Formato 6 a)'!D25</f>
        <v>638708.80000000005</v>
      </c>
      <c r="S18" s="18">
        <f>'Formato 6 a)'!E25</f>
        <v>246124.28</v>
      </c>
      <c r="T18" s="18">
        <f>'Formato 6 a)'!F25</f>
        <v>246124.28</v>
      </c>
      <c r="U18" s="18">
        <f>'Formato 6 a)'!G25</f>
        <v>392584.52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138896</v>
      </c>
      <c r="Q20" s="18">
        <f>'Formato 6 a)'!C27</f>
        <v>-1263.8</v>
      </c>
      <c r="R20" s="18">
        <f>'Formato 6 a)'!D27</f>
        <v>137632.20000000001</v>
      </c>
      <c r="S20" s="18">
        <f>'Formato 6 a)'!E27</f>
        <v>29417.64</v>
      </c>
      <c r="T20" s="18">
        <f>'Formato 6 a)'!F27</f>
        <v>28787.64</v>
      </c>
      <c r="U20" s="18">
        <f>'Formato 6 a)'!G27</f>
        <v>108214.56000000001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19171966</v>
      </c>
      <c r="Q21" s="18">
        <f>'Formato 6 a)'!C28</f>
        <v>120675</v>
      </c>
      <c r="R21" s="18">
        <f>'Formato 6 a)'!D28</f>
        <v>19292641</v>
      </c>
      <c r="S21" s="18">
        <f>'Formato 6 a)'!E28</f>
        <v>4179995.86</v>
      </c>
      <c r="T21" s="18">
        <f>'Formato 6 a)'!F28</f>
        <v>4179995.86</v>
      </c>
      <c r="U21" s="18">
        <f>'Formato 6 a)'!G28</f>
        <v>15112645.140000001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8821213</v>
      </c>
      <c r="Q22" s="18">
        <f>'Formato 6 a)'!C29</f>
        <v>0</v>
      </c>
      <c r="R22" s="18">
        <f>'Formato 6 a)'!D29</f>
        <v>8821213</v>
      </c>
      <c r="S22" s="18">
        <f>'Formato 6 a)'!E29</f>
        <v>2051417.97</v>
      </c>
      <c r="T22" s="18">
        <f>'Formato 6 a)'!F29</f>
        <v>2051417.97</v>
      </c>
      <c r="U22" s="18">
        <f>'Formato 6 a)'!G29</f>
        <v>6769795.0300000003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17000</v>
      </c>
      <c r="Q23" s="18">
        <f>'Formato 6 a)'!C30</f>
        <v>0</v>
      </c>
      <c r="R23" s="18">
        <f>'Formato 6 a)'!D30</f>
        <v>17000</v>
      </c>
      <c r="S23" s="18">
        <f>'Formato 6 a)'!E30</f>
        <v>0</v>
      </c>
      <c r="T23" s="18">
        <f>'Formato 6 a)'!F30</f>
        <v>0</v>
      </c>
      <c r="U23" s="18">
        <f>'Formato 6 a)'!G30</f>
        <v>17000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3456512</v>
      </c>
      <c r="Q24" s="18">
        <f>'Formato 6 a)'!C31</f>
        <v>117675</v>
      </c>
      <c r="R24" s="18">
        <f>'Formato 6 a)'!D31</f>
        <v>3574187</v>
      </c>
      <c r="S24" s="18">
        <f>'Formato 6 a)'!E31</f>
        <v>706776.9</v>
      </c>
      <c r="T24" s="18">
        <f>'Formato 6 a)'!F31</f>
        <v>706776.9</v>
      </c>
      <c r="U24" s="18">
        <f>'Formato 6 a)'!G31</f>
        <v>2867410.1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866140</v>
      </c>
      <c r="Q25" s="18">
        <f>'Formato 6 a)'!C32</f>
        <v>0</v>
      </c>
      <c r="R25" s="18">
        <f>'Formato 6 a)'!D32</f>
        <v>866140</v>
      </c>
      <c r="S25" s="18">
        <f>'Formato 6 a)'!E32</f>
        <v>207794.55</v>
      </c>
      <c r="T25" s="18">
        <f>'Formato 6 a)'!F32</f>
        <v>207794.55</v>
      </c>
      <c r="U25" s="18">
        <f>'Formato 6 a)'!G32</f>
        <v>658345.44999999995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2960432</v>
      </c>
      <c r="Q26" s="18">
        <f>'Formato 6 a)'!C33</f>
        <v>0</v>
      </c>
      <c r="R26" s="18">
        <f>'Formato 6 a)'!D33</f>
        <v>2960432</v>
      </c>
      <c r="S26" s="18">
        <f>'Formato 6 a)'!E33</f>
        <v>542466.24</v>
      </c>
      <c r="T26" s="18">
        <f>'Formato 6 a)'!F33</f>
        <v>542466.24</v>
      </c>
      <c r="U26" s="18">
        <f>'Formato 6 a)'!G33</f>
        <v>2417965.7599999998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234200</v>
      </c>
      <c r="Q27" s="18">
        <f>'Formato 6 a)'!C34</f>
        <v>0</v>
      </c>
      <c r="R27" s="18">
        <f>'Formato 6 a)'!D34</f>
        <v>234200</v>
      </c>
      <c r="S27" s="18">
        <f>'Formato 6 a)'!E34</f>
        <v>21717.57</v>
      </c>
      <c r="T27" s="18">
        <f>'Formato 6 a)'!F34</f>
        <v>21717.57</v>
      </c>
      <c r="U27" s="18">
        <f>'Formato 6 a)'!G34</f>
        <v>212482.43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52500</v>
      </c>
      <c r="Q28" s="18">
        <f>'Formato 6 a)'!C35</f>
        <v>0</v>
      </c>
      <c r="R28" s="18">
        <f>'Formato 6 a)'!D35</f>
        <v>52500</v>
      </c>
      <c r="S28" s="18">
        <f>'Formato 6 a)'!E35</f>
        <v>1945.72</v>
      </c>
      <c r="T28" s="18">
        <f>'Formato 6 a)'!F35</f>
        <v>1945.72</v>
      </c>
      <c r="U28" s="18">
        <f>'Formato 6 a)'!G35</f>
        <v>50554.28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137000</v>
      </c>
      <c r="Q29" s="18">
        <f>'Formato 6 a)'!C36</f>
        <v>0</v>
      </c>
      <c r="R29" s="18">
        <f>'Formato 6 a)'!D36</f>
        <v>137000</v>
      </c>
      <c r="S29" s="18">
        <f>'Formato 6 a)'!E36</f>
        <v>4697.03</v>
      </c>
      <c r="T29" s="18">
        <f>'Formato 6 a)'!F36</f>
        <v>4697.03</v>
      </c>
      <c r="U29" s="18">
        <f>'Formato 6 a)'!G36</f>
        <v>132302.97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2626969</v>
      </c>
      <c r="Q30" s="18">
        <f>'Formato 6 a)'!C37</f>
        <v>3000</v>
      </c>
      <c r="R30" s="18">
        <f>'Formato 6 a)'!D37</f>
        <v>2629969</v>
      </c>
      <c r="S30" s="18">
        <f>'Formato 6 a)'!E37</f>
        <v>643179.88</v>
      </c>
      <c r="T30" s="18">
        <f>'Formato 6 a)'!F37</f>
        <v>643179.88</v>
      </c>
      <c r="U30" s="18">
        <f>'Formato 6 a)'!G37</f>
        <v>1986789.12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10000</v>
      </c>
      <c r="Q31" s="18">
        <f>'Formato 6 a)'!C38</f>
        <v>0</v>
      </c>
      <c r="R31" s="18">
        <f>'Formato 6 a)'!D38</f>
        <v>10000</v>
      </c>
      <c r="S31" s="18">
        <f>'Formato 6 a)'!E38</f>
        <v>0</v>
      </c>
      <c r="T31" s="18">
        <f>'Formato 6 a)'!F38</f>
        <v>0</v>
      </c>
      <c r="U31" s="18">
        <f>'Formato 6 a)'!G38</f>
        <v>10000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10000</v>
      </c>
      <c r="Q35" s="18">
        <f>'Formato 6 a)'!C42</f>
        <v>0</v>
      </c>
      <c r="R35" s="18">
        <f>'Formato 6 a)'!D42</f>
        <v>10000</v>
      </c>
      <c r="S35" s="18">
        <f>'Formato 6 a)'!E42</f>
        <v>0</v>
      </c>
      <c r="T35" s="18">
        <f>'Formato 6 a)'!F42</f>
        <v>0</v>
      </c>
      <c r="U35" s="18">
        <f>'Formato 6 a)'!G42</f>
        <v>10000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1172681</v>
      </c>
      <c r="Q41" s="18">
        <f>'Formato 6 a)'!C48</f>
        <v>242137.19</v>
      </c>
      <c r="R41" s="18">
        <f>'Formato 6 a)'!D48</f>
        <v>1414818.19</v>
      </c>
      <c r="S41" s="18">
        <f>'Formato 6 a)'!E48</f>
        <v>287213.88</v>
      </c>
      <c r="T41" s="18">
        <f>'Formato 6 a)'!F48</f>
        <v>287213.88</v>
      </c>
      <c r="U41" s="18">
        <f>'Formato 6 a)'!G48</f>
        <v>1127604.31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423781</v>
      </c>
      <c r="Q42" s="18">
        <f>'Formato 6 a)'!C49</f>
        <v>0</v>
      </c>
      <c r="R42" s="18">
        <f>'Formato 6 a)'!D49</f>
        <v>423781</v>
      </c>
      <c r="S42" s="18">
        <f>'Formato 6 a)'!E49</f>
        <v>23356.69</v>
      </c>
      <c r="T42" s="18">
        <f>'Formato 6 a)'!F49</f>
        <v>23356.69</v>
      </c>
      <c r="U42" s="18">
        <f>'Formato 6 a)'!G49</f>
        <v>400424.31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6500</v>
      </c>
      <c r="Q43" s="18">
        <f>'Formato 6 a)'!C50</f>
        <v>0</v>
      </c>
      <c r="R43" s="18">
        <f>'Formato 6 a)'!D50</f>
        <v>6500</v>
      </c>
      <c r="S43" s="18">
        <f>'Formato 6 a)'!E50</f>
        <v>0</v>
      </c>
      <c r="T43" s="18">
        <f>'Formato 6 a)'!F50</f>
        <v>0</v>
      </c>
      <c r="U43" s="18">
        <f>'Formato 6 a)'!G50</f>
        <v>6500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242137.19</v>
      </c>
      <c r="R44" s="18">
        <f>'Formato 6 a)'!D51</f>
        <v>242137.19</v>
      </c>
      <c r="S44" s="18">
        <f>'Formato 6 a)'!E51</f>
        <v>242137.19</v>
      </c>
      <c r="T44" s="18">
        <f>'Formato 6 a)'!F51</f>
        <v>242137.19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351000</v>
      </c>
      <c r="Q45" s="18">
        <f>'Formato 6 a)'!C52</f>
        <v>0</v>
      </c>
      <c r="R45" s="18">
        <f>'Formato 6 a)'!D52</f>
        <v>351000</v>
      </c>
      <c r="S45" s="18">
        <f>'Formato 6 a)'!E52</f>
        <v>0</v>
      </c>
      <c r="T45" s="18">
        <f>'Formato 6 a)'!F52</f>
        <v>0</v>
      </c>
      <c r="U45" s="18">
        <f>'Formato 6 a)'!G52</f>
        <v>351000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176000</v>
      </c>
      <c r="Q47" s="18">
        <f>'Formato 6 a)'!C54</f>
        <v>0</v>
      </c>
      <c r="R47" s="18">
        <f>'Formato 6 a)'!D54</f>
        <v>176000</v>
      </c>
      <c r="S47" s="18">
        <f>'Formato 6 a)'!E54</f>
        <v>21720</v>
      </c>
      <c r="T47" s="18">
        <f>'Formato 6 a)'!F54</f>
        <v>21720</v>
      </c>
      <c r="U47" s="18">
        <f>'Formato 6 a)'!G54</f>
        <v>154280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215400</v>
      </c>
      <c r="Q50" s="18">
        <f>'Formato 6 a)'!C57</f>
        <v>0</v>
      </c>
      <c r="R50" s="18">
        <f>'Formato 6 a)'!D57</f>
        <v>215400</v>
      </c>
      <c r="S50" s="18">
        <f>'Formato 6 a)'!E57</f>
        <v>0</v>
      </c>
      <c r="T50" s="18">
        <f>'Formato 6 a)'!F57</f>
        <v>0</v>
      </c>
      <c r="U50" s="18">
        <f>'Formato 6 a)'!G57</f>
        <v>215400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13238665</v>
      </c>
      <c r="Q51" s="18">
        <f>'Formato 6 a)'!C58</f>
        <v>3201105.01</v>
      </c>
      <c r="R51" s="18">
        <f>'Formato 6 a)'!D58</f>
        <v>16439770.01</v>
      </c>
      <c r="S51" s="18">
        <f>'Formato 6 a)'!E58</f>
        <v>2794171.37</v>
      </c>
      <c r="T51" s="18">
        <f>'Formato 6 a)'!F58</f>
        <v>2794171.37</v>
      </c>
      <c r="U51" s="18">
        <f>'Formato 6 a)'!G58</f>
        <v>13645598.640000001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13178665</v>
      </c>
      <c r="Q52" s="18">
        <f>'Formato 6 a)'!C59</f>
        <v>2486168.73</v>
      </c>
      <c r="R52" s="18">
        <f>'Formato 6 a)'!D59</f>
        <v>15664833.73</v>
      </c>
      <c r="S52" s="18">
        <f>'Formato 6 a)'!E59</f>
        <v>2117708.94</v>
      </c>
      <c r="T52" s="18">
        <f>'Formato 6 a)'!F59</f>
        <v>2117708.94</v>
      </c>
      <c r="U52" s="18">
        <f>'Formato 6 a)'!G59</f>
        <v>13547124.790000001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60000</v>
      </c>
      <c r="Q54" s="18">
        <f>'Formato 6 a)'!C61</f>
        <v>714936.28</v>
      </c>
      <c r="R54" s="18">
        <f>'Formato 6 a)'!D61</f>
        <v>774936.28</v>
      </c>
      <c r="S54" s="18">
        <f>'Formato 6 a)'!E61</f>
        <v>676462.43</v>
      </c>
      <c r="T54" s="18">
        <f>'Formato 6 a)'!F61</f>
        <v>676462.43</v>
      </c>
      <c r="U54" s="18">
        <f>'Formato 6 a)'!G61</f>
        <v>98473.849999999977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ht="14.25" x14ac:dyDescent="0.4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ht="14.25" x14ac:dyDescent="0.4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ht="14.25" x14ac:dyDescent="0.4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67312273</v>
      </c>
      <c r="Q150">
        <f>'Formato 6 a)'!C159</f>
        <v>3613183.1999999997</v>
      </c>
      <c r="R150">
        <f>'Formato 6 a)'!D159</f>
        <v>70925456.200000003</v>
      </c>
      <c r="S150">
        <f>'Formato 6 a)'!E159</f>
        <v>13957506.100000001</v>
      </c>
      <c r="T150">
        <f>'Formato 6 a)'!F159</f>
        <v>13955574.100000001</v>
      </c>
      <c r="U150">
        <f>'Formato 6 a)'!G159</f>
        <v>56967950.100000001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10" zoomScale="90" zoomScaleNormal="90" workbookViewId="0">
      <selection activeCell="B20" sqref="B20:F27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3" t="s">
        <v>3290</v>
      </c>
      <c r="B1" s="173"/>
      <c r="C1" s="173"/>
      <c r="D1" s="173"/>
      <c r="E1" s="173"/>
      <c r="F1" s="173"/>
      <c r="G1" s="173"/>
    </row>
    <row r="2" spans="1:7" ht="14.25" x14ac:dyDescent="0.45">
      <c r="A2" s="154" t="str">
        <f>ENTE_PUBLICO_A</f>
        <v>JUNTA MUNICIPAL DE AGUA POTABLE Y ALCANTARILLADO DE CORTAZAR, GTO., Gobierno del Estado de Guanajuato (a)</v>
      </c>
      <c r="B2" s="155"/>
      <c r="C2" s="155"/>
      <c r="D2" s="155"/>
      <c r="E2" s="155"/>
      <c r="F2" s="155"/>
      <c r="G2" s="156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431</v>
      </c>
      <c r="B4" s="158"/>
      <c r="C4" s="158"/>
      <c r="D4" s="158"/>
      <c r="E4" s="158"/>
      <c r="F4" s="158"/>
      <c r="G4" s="159"/>
    </row>
    <row r="5" spans="1:7" ht="14.25" x14ac:dyDescent="0.45">
      <c r="A5" s="160" t="str">
        <f>TRIMESTRE</f>
        <v>Del 1 de enero al 30 de marzo de 2020 (b)</v>
      </c>
      <c r="B5" s="161"/>
      <c r="C5" s="161"/>
      <c r="D5" s="161"/>
      <c r="E5" s="161"/>
      <c r="F5" s="161"/>
      <c r="G5" s="162"/>
    </row>
    <row r="6" spans="1:7" ht="14.25" x14ac:dyDescent="0.45">
      <c r="A6" s="163" t="s">
        <v>118</v>
      </c>
      <c r="B6" s="164"/>
      <c r="C6" s="164"/>
      <c r="D6" s="164"/>
      <c r="E6" s="164"/>
      <c r="F6" s="164"/>
      <c r="G6" s="165"/>
    </row>
    <row r="7" spans="1:7" x14ac:dyDescent="0.25">
      <c r="A7" s="169" t="s">
        <v>0</v>
      </c>
      <c r="B7" s="171" t="s">
        <v>279</v>
      </c>
      <c r="C7" s="171"/>
      <c r="D7" s="171"/>
      <c r="E7" s="171"/>
      <c r="F7" s="171"/>
      <c r="G7" s="175" t="s">
        <v>280</v>
      </c>
    </row>
    <row r="8" spans="1:7" ht="30" x14ac:dyDescent="0.25">
      <c r="A8" s="170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4"/>
    </row>
    <row r="9" spans="1:7" ht="14.25" x14ac:dyDescent="0.45">
      <c r="A9" s="52" t="s">
        <v>440</v>
      </c>
      <c r="B9" s="59">
        <f>SUM(B10:GASTO_NE_FIN_01)</f>
        <v>67312273</v>
      </c>
      <c r="C9" s="59">
        <f>SUM(C10:GASTO_NE_FIN_02)</f>
        <v>3613183.2</v>
      </c>
      <c r="D9" s="59">
        <f>SUM(D10:GASTO_NE_FIN_03)</f>
        <v>70925456.200000003</v>
      </c>
      <c r="E9" s="59">
        <f>SUM(E10:GASTO_NE_FIN_04)</f>
        <v>13957506.1</v>
      </c>
      <c r="F9" s="59">
        <f>SUM(F10:GASTO_NE_FIN_05)</f>
        <v>13955574.1</v>
      </c>
      <c r="G9" s="59">
        <f>SUM(G10:GASTO_NE_FIN_06)</f>
        <v>56967950.100000001</v>
      </c>
    </row>
    <row r="10" spans="1:7" s="24" customFormat="1" x14ac:dyDescent="0.25">
      <c r="A10" s="143" t="s">
        <v>432</v>
      </c>
      <c r="B10" s="196">
        <v>67312273</v>
      </c>
      <c r="C10" s="196">
        <v>0</v>
      </c>
      <c r="D10" s="197">
        <f>B10+C10</f>
        <v>67312273</v>
      </c>
      <c r="E10" s="196">
        <v>13957506.1</v>
      </c>
      <c r="F10" s="196">
        <v>13955574.1</v>
      </c>
      <c r="G10" s="197">
        <f>D10-E10</f>
        <v>53354766.899999999</v>
      </c>
    </row>
    <row r="11" spans="1:7" s="24" customFormat="1" x14ac:dyDescent="0.25">
      <c r="A11" s="143" t="s">
        <v>433</v>
      </c>
      <c r="B11" s="196">
        <v>0</v>
      </c>
      <c r="C11" s="196">
        <v>3613183.2</v>
      </c>
      <c r="D11" s="197">
        <f t="shared" ref="D11:D17" si="0">B11+C11</f>
        <v>3613183.2</v>
      </c>
      <c r="E11" s="196">
        <v>0</v>
      </c>
      <c r="F11" s="196">
        <v>0</v>
      </c>
      <c r="G11" s="197">
        <f t="shared" ref="G11:G17" si="1">D11-E11</f>
        <v>3613183.2</v>
      </c>
    </row>
    <row r="12" spans="1:7" s="24" customFormat="1" x14ac:dyDescent="0.25">
      <c r="A12" s="143" t="s">
        <v>434</v>
      </c>
      <c r="B12" s="197"/>
      <c r="C12" s="197"/>
      <c r="D12" s="197">
        <f t="shared" si="0"/>
        <v>0</v>
      </c>
      <c r="E12" s="197"/>
      <c r="F12" s="197"/>
      <c r="G12" s="197">
        <f t="shared" si="1"/>
        <v>0</v>
      </c>
    </row>
    <row r="13" spans="1:7" s="24" customFormat="1" x14ac:dyDescent="0.25">
      <c r="A13" s="143" t="s">
        <v>435</v>
      </c>
      <c r="B13" s="197"/>
      <c r="C13" s="197"/>
      <c r="D13" s="197">
        <f t="shared" si="0"/>
        <v>0</v>
      </c>
      <c r="E13" s="197"/>
      <c r="F13" s="197"/>
      <c r="G13" s="197">
        <f t="shared" si="1"/>
        <v>0</v>
      </c>
    </row>
    <row r="14" spans="1:7" s="24" customFormat="1" x14ac:dyDescent="0.25">
      <c r="A14" s="143" t="s">
        <v>436</v>
      </c>
      <c r="B14" s="197"/>
      <c r="C14" s="197"/>
      <c r="D14" s="197">
        <f t="shared" si="0"/>
        <v>0</v>
      </c>
      <c r="E14" s="197"/>
      <c r="F14" s="197"/>
      <c r="G14" s="197">
        <f t="shared" si="1"/>
        <v>0</v>
      </c>
    </row>
    <row r="15" spans="1:7" s="24" customFormat="1" x14ac:dyDescent="0.25">
      <c r="A15" s="143" t="s">
        <v>437</v>
      </c>
      <c r="B15" s="197"/>
      <c r="C15" s="197"/>
      <c r="D15" s="197">
        <f t="shared" si="0"/>
        <v>0</v>
      </c>
      <c r="E15" s="197"/>
      <c r="F15" s="197"/>
      <c r="G15" s="197">
        <f t="shared" si="1"/>
        <v>0</v>
      </c>
    </row>
    <row r="16" spans="1:7" s="24" customFormat="1" x14ac:dyDescent="0.25">
      <c r="A16" s="143" t="s">
        <v>438</v>
      </c>
      <c r="B16" s="197"/>
      <c r="C16" s="197"/>
      <c r="D16" s="197">
        <f t="shared" si="0"/>
        <v>0</v>
      </c>
      <c r="E16" s="197"/>
      <c r="F16" s="197"/>
      <c r="G16" s="197">
        <f t="shared" si="1"/>
        <v>0</v>
      </c>
    </row>
    <row r="17" spans="1:7" s="24" customFormat="1" x14ac:dyDescent="0.25">
      <c r="A17" s="143" t="s">
        <v>439</v>
      </c>
      <c r="B17" s="197"/>
      <c r="C17" s="197"/>
      <c r="D17" s="197">
        <f t="shared" si="0"/>
        <v>0</v>
      </c>
      <c r="E17" s="197"/>
      <c r="F17" s="197"/>
      <c r="G17" s="197">
        <f t="shared" si="1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3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3" t="s">
        <v>433</v>
      </c>
      <c r="B21" s="60"/>
      <c r="C21" s="60"/>
      <c r="D21" s="60"/>
      <c r="E21" s="60"/>
      <c r="F21" s="60"/>
      <c r="G21" s="60">
        <f t="shared" ref="G21:G27" si="2">D21-E21</f>
        <v>0</v>
      </c>
    </row>
    <row r="22" spans="1:7" s="24" customFormat="1" ht="14.25" x14ac:dyDescent="0.45">
      <c r="A22" s="143" t="s">
        <v>434</v>
      </c>
      <c r="B22" s="60"/>
      <c r="C22" s="60"/>
      <c r="D22" s="60"/>
      <c r="E22" s="60"/>
      <c r="F22" s="60"/>
      <c r="G22" s="60">
        <f t="shared" si="2"/>
        <v>0</v>
      </c>
    </row>
    <row r="23" spans="1:7" s="24" customFormat="1" ht="14.25" x14ac:dyDescent="0.45">
      <c r="A23" s="143" t="s">
        <v>435</v>
      </c>
      <c r="B23" s="60"/>
      <c r="C23" s="60"/>
      <c r="D23" s="60"/>
      <c r="E23" s="60"/>
      <c r="F23" s="60"/>
      <c r="G23" s="60">
        <f t="shared" si="2"/>
        <v>0</v>
      </c>
    </row>
    <row r="24" spans="1:7" s="24" customFormat="1" ht="14.25" x14ac:dyDescent="0.45">
      <c r="A24" s="143" t="s">
        <v>436</v>
      </c>
      <c r="B24" s="60"/>
      <c r="C24" s="60"/>
      <c r="D24" s="60"/>
      <c r="E24" s="60"/>
      <c r="F24" s="60"/>
      <c r="G24" s="60">
        <f t="shared" si="2"/>
        <v>0</v>
      </c>
    </row>
    <row r="25" spans="1:7" s="24" customFormat="1" ht="14.25" x14ac:dyDescent="0.45">
      <c r="A25" s="143" t="s">
        <v>437</v>
      </c>
      <c r="B25" s="60"/>
      <c r="C25" s="60"/>
      <c r="D25" s="60"/>
      <c r="E25" s="60"/>
      <c r="F25" s="60"/>
      <c r="G25" s="60">
        <f t="shared" si="2"/>
        <v>0</v>
      </c>
    </row>
    <row r="26" spans="1:7" s="24" customFormat="1" ht="14.25" x14ac:dyDescent="0.45">
      <c r="A26" s="143" t="s">
        <v>438</v>
      </c>
      <c r="B26" s="60"/>
      <c r="C26" s="60"/>
      <c r="D26" s="60"/>
      <c r="E26" s="60"/>
      <c r="F26" s="60"/>
      <c r="G26" s="60">
        <f t="shared" si="2"/>
        <v>0</v>
      </c>
    </row>
    <row r="27" spans="1:7" s="24" customFormat="1" ht="14.25" x14ac:dyDescent="0.45">
      <c r="A27" s="143" t="s">
        <v>439</v>
      </c>
      <c r="B27" s="60"/>
      <c r="C27" s="60"/>
      <c r="D27" s="60"/>
      <c r="E27" s="60"/>
      <c r="F27" s="60"/>
      <c r="G27" s="60">
        <f t="shared" si="2"/>
        <v>0</v>
      </c>
    </row>
    <row r="28" spans="1:7" ht="14.25" x14ac:dyDescent="0.45">
      <c r="A28" s="76" t="s">
        <v>686</v>
      </c>
      <c r="B28" s="54"/>
      <c r="C28" s="54"/>
      <c r="D28" s="54"/>
      <c r="E28" s="54"/>
      <c r="F28" s="54"/>
      <c r="G28" s="54"/>
    </row>
    <row r="29" spans="1:7" ht="14.25" x14ac:dyDescent="0.45">
      <c r="A29" s="55" t="s">
        <v>360</v>
      </c>
      <c r="B29" s="61">
        <f>GASTO_NE_T1+GASTO_E_T1</f>
        <v>67312273</v>
      </c>
      <c r="C29" s="61">
        <f>GASTO_NE_T2+GASTO_E_T2</f>
        <v>3613183.2</v>
      </c>
      <c r="D29" s="61">
        <f>GASTO_NE_T3+GASTO_E_T3</f>
        <v>70925456.200000003</v>
      </c>
      <c r="E29" s="61">
        <f>GASTO_NE_T4+GASTO_E_T4</f>
        <v>13957506.1</v>
      </c>
      <c r="F29" s="61">
        <f>GASTO_NE_T5+GASTO_E_T5</f>
        <v>13955574.1</v>
      </c>
      <c r="G29" s="61">
        <f>GASTO_NE_T6+GASTO_E_T6</f>
        <v>56967950.100000001</v>
      </c>
    </row>
    <row r="30" spans="1:7" ht="14.25" x14ac:dyDescent="0.4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67312273</v>
      </c>
      <c r="Q2" s="18">
        <f>GASTO_NE_T2</f>
        <v>3613183.2</v>
      </c>
      <c r="R2" s="18">
        <f>GASTO_NE_T3</f>
        <v>70925456.200000003</v>
      </c>
      <c r="S2" s="18">
        <f>GASTO_NE_T4</f>
        <v>13957506.1</v>
      </c>
      <c r="T2" s="18">
        <f>GASTO_NE_T5</f>
        <v>13955574.1</v>
      </c>
      <c r="U2" s="18">
        <f>GASTO_NE_T6</f>
        <v>56967950.100000001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67312273</v>
      </c>
      <c r="Q4" s="18">
        <f>TOTAL_E_T2</f>
        <v>3613183.2</v>
      </c>
      <c r="R4" s="18">
        <f>TOTAL_E_T3</f>
        <v>70925456.200000003</v>
      </c>
      <c r="S4" s="18">
        <f>TOTAL_E_T4</f>
        <v>13957506.1</v>
      </c>
      <c r="T4" s="18">
        <f>TOTAL_E_T5</f>
        <v>13955574.1</v>
      </c>
      <c r="U4" s="18">
        <f>TOTAL_E_T6</f>
        <v>56967950.100000001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5" zoomScale="90" zoomScaleNormal="90" workbookViewId="0">
      <selection activeCell="B11" sqref="B11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9" t="s">
        <v>3289</v>
      </c>
      <c r="B1" s="180"/>
      <c r="C1" s="180"/>
      <c r="D1" s="180"/>
      <c r="E1" s="180"/>
      <c r="F1" s="180"/>
      <c r="G1" s="180"/>
    </row>
    <row r="2" spans="1:7" ht="14.25" x14ac:dyDescent="0.45">
      <c r="A2" s="154" t="str">
        <f>ENTE_PUBLICO_A</f>
        <v>JUNTA MUNICIPAL DE AGUA POTABLE Y ALCANTARILLADO DE CORTAZAR, GTO., Gobierno del Estado de Guanajuato (a)</v>
      </c>
      <c r="B2" s="155"/>
      <c r="C2" s="155"/>
      <c r="D2" s="155"/>
      <c r="E2" s="155"/>
      <c r="F2" s="155"/>
      <c r="G2" s="156"/>
    </row>
    <row r="3" spans="1:7" x14ac:dyDescent="0.25">
      <c r="A3" s="157" t="s">
        <v>396</v>
      </c>
      <c r="B3" s="158"/>
      <c r="C3" s="158"/>
      <c r="D3" s="158"/>
      <c r="E3" s="158"/>
      <c r="F3" s="158"/>
      <c r="G3" s="159"/>
    </row>
    <row r="4" spans="1:7" x14ac:dyDescent="0.25">
      <c r="A4" s="157" t="s">
        <v>397</v>
      </c>
      <c r="B4" s="158"/>
      <c r="C4" s="158"/>
      <c r="D4" s="158"/>
      <c r="E4" s="158"/>
      <c r="F4" s="158"/>
      <c r="G4" s="159"/>
    </row>
    <row r="5" spans="1:7" ht="14.25" x14ac:dyDescent="0.45">
      <c r="A5" s="160" t="str">
        <f>TRIMESTRE</f>
        <v>Del 1 de enero al 30 de marzo de 2020 (b)</v>
      </c>
      <c r="B5" s="161"/>
      <c r="C5" s="161"/>
      <c r="D5" s="161"/>
      <c r="E5" s="161"/>
      <c r="F5" s="161"/>
      <c r="G5" s="162"/>
    </row>
    <row r="6" spans="1:7" ht="14.25" x14ac:dyDescent="0.45">
      <c r="A6" s="163" t="s">
        <v>118</v>
      </c>
      <c r="B6" s="164"/>
      <c r="C6" s="164"/>
      <c r="D6" s="164"/>
      <c r="E6" s="164"/>
      <c r="F6" s="164"/>
      <c r="G6" s="165"/>
    </row>
    <row r="7" spans="1:7" x14ac:dyDescent="0.25">
      <c r="A7" s="158" t="s">
        <v>0</v>
      </c>
      <c r="B7" s="163" t="s">
        <v>279</v>
      </c>
      <c r="C7" s="164"/>
      <c r="D7" s="164"/>
      <c r="E7" s="164"/>
      <c r="F7" s="165"/>
      <c r="G7" s="175" t="s">
        <v>3286</v>
      </c>
    </row>
    <row r="8" spans="1:7" ht="30.75" customHeight="1" x14ac:dyDescent="0.25">
      <c r="A8" s="158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4"/>
    </row>
    <row r="9" spans="1:7" ht="14.25" x14ac:dyDescent="0.45">
      <c r="A9" s="52" t="s">
        <v>363</v>
      </c>
      <c r="B9" s="70">
        <f>SUM(B10,B19,B27,B37)</f>
        <v>28</v>
      </c>
      <c r="C9" s="70">
        <f t="shared" ref="C9:G9" si="0">SUM(C10,C19,C27,C37)</f>
        <v>28</v>
      </c>
      <c r="D9" s="70">
        <f t="shared" si="0"/>
        <v>84</v>
      </c>
      <c r="E9" s="70">
        <f t="shared" si="0"/>
        <v>28</v>
      </c>
      <c r="F9" s="70">
        <f t="shared" si="0"/>
        <v>28</v>
      </c>
      <c r="G9" s="70">
        <f t="shared" si="0"/>
        <v>56</v>
      </c>
    </row>
    <row r="10" spans="1:7" ht="14.25" x14ac:dyDescent="0.45">
      <c r="A10" s="53" t="s">
        <v>364</v>
      </c>
      <c r="B10" s="71">
        <f>SUM(B11:B18)</f>
        <v>8</v>
      </c>
      <c r="C10" s="71">
        <f t="shared" ref="C10:F10" si="1">SUM(C11:C18)</f>
        <v>8</v>
      </c>
      <c r="D10" s="71">
        <f t="shared" si="1"/>
        <v>24</v>
      </c>
      <c r="E10" s="71">
        <f t="shared" si="1"/>
        <v>8</v>
      </c>
      <c r="F10" s="71">
        <f t="shared" si="1"/>
        <v>8</v>
      </c>
      <c r="G10" s="71">
        <f>SUM(G11:G18)</f>
        <v>16</v>
      </c>
    </row>
    <row r="11" spans="1:7" x14ac:dyDescent="0.25">
      <c r="A11" s="63" t="s">
        <v>365</v>
      </c>
      <c r="B11" s="72">
        <v>1</v>
      </c>
      <c r="C11" s="72">
        <v>1</v>
      </c>
      <c r="D11" s="72">
        <v>3</v>
      </c>
      <c r="E11" s="72">
        <v>1</v>
      </c>
      <c r="F11" s="72">
        <v>1</v>
      </c>
      <c r="G11" s="72">
        <f>D11-E11</f>
        <v>2</v>
      </c>
    </row>
    <row r="12" spans="1:7" ht="14.25" x14ac:dyDescent="0.45">
      <c r="A12" s="63" t="s">
        <v>366</v>
      </c>
      <c r="B12" s="72">
        <v>1</v>
      </c>
      <c r="C12" s="72">
        <v>1</v>
      </c>
      <c r="D12" s="72">
        <v>3</v>
      </c>
      <c r="E12" s="72">
        <v>1</v>
      </c>
      <c r="F12" s="72">
        <v>1</v>
      </c>
      <c r="G12" s="72">
        <f t="shared" ref="G12:G18" si="2">D12-E12</f>
        <v>2</v>
      </c>
    </row>
    <row r="13" spans="1:7" x14ac:dyDescent="0.25">
      <c r="A13" s="63" t="s">
        <v>367</v>
      </c>
      <c r="B13" s="72">
        <v>1</v>
      </c>
      <c r="C13" s="72">
        <v>1</v>
      </c>
      <c r="D13" s="72">
        <v>3</v>
      </c>
      <c r="E13" s="72">
        <v>1</v>
      </c>
      <c r="F13" s="72">
        <v>1</v>
      </c>
      <c r="G13" s="72">
        <f t="shared" si="2"/>
        <v>2</v>
      </c>
    </row>
    <row r="14" spans="1:7" ht="14.25" x14ac:dyDescent="0.45">
      <c r="A14" s="63" t="s">
        <v>368</v>
      </c>
      <c r="B14" s="72">
        <v>1</v>
      </c>
      <c r="C14" s="72">
        <v>1</v>
      </c>
      <c r="D14" s="72">
        <v>3</v>
      </c>
      <c r="E14" s="72">
        <v>1</v>
      </c>
      <c r="F14" s="72">
        <v>1</v>
      </c>
      <c r="G14" s="72">
        <f t="shared" si="2"/>
        <v>2</v>
      </c>
    </row>
    <row r="15" spans="1:7" ht="14.25" x14ac:dyDescent="0.45">
      <c r="A15" s="63" t="s">
        <v>369</v>
      </c>
      <c r="B15" s="72">
        <v>1</v>
      </c>
      <c r="C15" s="72">
        <v>1</v>
      </c>
      <c r="D15" s="72">
        <v>3</v>
      </c>
      <c r="E15" s="72">
        <v>1</v>
      </c>
      <c r="F15" s="72">
        <v>1</v>
      </c>
      <c r="G15" s="72">
        <f t="shared" si="2"/>
        <v>2</v>
      </c>
    </row>
    <row r="16" spans="1:7" ht="14.25" x14ac:dyDescent="0.45">
      <c r="A16" s="63" t="s">
        <v>370</v>
      </c>
      <c r="B16" s="72">
        <v>1</v>
      </c>
      <c r="C16" s="72">
        <v>1</v>
      </c>
      <c r="D16" s="72">
        <v>3</v>
      </c>
      <c r="E16" s="72">
        <v>1</v>
      </c>
      <c r="F16" s="72">
        <v>1</v>
      </c>
      <c r="G16" s="72">
        <f t="shared" si="2"/>
        <v>2</v>
      </c>
    </row>
    <row r="17" spans="1:7" x14ac:dyDescent="0.25">
      <c r="A17" s="63" t="s">
        <v>371</v>
      </c>
      <c r="B17" s="72">
        <v>1</v>
      </c>
      <c r="C17" s="72">
        <v>1</v>
      </c>
      <c r="D17" s="72">
        <v>3</v>
      </c>
      <c r="E17" s="72">
        <v>1</v>
      </c>
      <c r="F17" s="72">
        <v>1</v>
      </c>
      <c r="G17" s="72">
        <f t="shared" si="2"/>
        <v>2</v>
      </c>
    </row>
    <row r="18" spans="1:7" ht="14.25" x14ac:dyDescent="0.45">
      <c r="A18" s="63" t="s">
        <v>372</v>
      </c>
      <c r="B18" s="72">
        <v>1</v>
      </c>
      <c r="C18" s="72">
        <v>1</v>
      </c>
      <c r="D18" s="72">
        <v>3</v>
      </c>
      <c r="E18" s="72">
        <v>1</v>
      </c>
      <c r="F18" s="72">
        <v>1</v>
      </c>
      <c r="G18" s="72">
        <f t="shared" si="2"/>
        <v>2</v>
      </c>
    </row>
    <row r="19" spans="1:7" ht="14.25" x14ac:dyDescent="0.45">
      <c r="A19" s="53" t="s">
        <v>373</v>
      </c>
      <c r="B19" s="71">
        <f>SUM(B20:B26)</f>
        <v>7</v>
      </c>
      <c r="C19" s="71">
        <f t="shared" ref="C19:F19" si="3">SUM(C20:C26)</f>
        <v>7</v>
      </c>
      <c r="D19" s="71">
        <f t="shared" si="3"/>
        <v>21</v>
      </c>
      <c r="E19" s="71">
        <f t="shared" si="3"/>
        <v>7</v>
      </c>
      <c r="F19" s="71">
        <f t="shared" si="3"/>
        <v>7</v>
      </c>
      <c r="G19" s="71">
        <f>SUM(G20:G26)</f>
        <v>14</v>
      </c>
    </row>
    <row r="20" spans="1:7" x14ac:dyDescent="0.25">
      <c r="A20" s="63" t="s">
        <v>374</v>
      </c>
      <c r="B20" s="71">
        <v>1</v>
      </c>
      <c r="C20" s="71">
        <v>1</v>
      </c>
      <c r="D20" s="71">
        <v>3</v>
      </c>
      <c r="E20" s="71">
        <v>1</v>
      </c>
      <c r="F20" s="71">
        <v>1</v>
      </c>
      <c r="G20" s="72">
        <f>D20-E20</f>
        <v>2</v>
      </c>
    </row>
    <row r="21" spans="1:7" ht="14.25" x14ac:dyDescent="0.45">
      <c r="A21" s="63" t="s">
        <v>375</v>
      </c>
      <c r="B21" s="71">
        <v>1</v>
      </c>
      <c r="C21" s="71">
        <v>1</v>
      </c>
      <c r="D21" s="71">
        <v>3</v>
      </c>
      <c r="E21" s="71">
        <v>1</v>
      </c>
      <c r="F21" s="71">
        <v>1</v>
      </c>
      <c r="G21" s="72">
        <f t="shared" ref="G21:G26" si="4">D21-E21</f>
        <v>2</v>
      </c>
    </row>
    <row r="22" spans="1:7" ht="14.25" x14ac:dyDescent="0.45">
      <c r="A22" s="63" t="s">
        <v>376</v>
      </c>
      <c r="B22" s="71">
        <v>1</v>
      </c>
      <c r="C22" s="71">
        <v>1</v>
      </c>
      <c r="D22" s="71">
        <v>3</v>
      </c>
      <c r="E22" s="71">
        <v>1</v>
      </c>
      <c r="F22" s="71">
        <v>1</v>
      </c>
      <c r="G22" s="72">
        <f t="shared" si="4"/>
        <v>2</v>
      </c>
    </row>
    <row r="23" spans="1:7" x14ac:dyDescent="0.25">
      <c r="A23" s="63" t="s">
        <v>377</v>
      </c>
      <c r="B23" s="71">
        <v>1</v>
      </c>
      <c r="C23" s="71">
        <v>1</v>
      </c>
      <c r="D23" s="71">
        <v>3</v>
      </c>
      <c r="E23" s="71">
        <v>1</v>
      </c>
      <c r="F23" s="71">
        <v>1</v>
      </c>
      <c r="G23" s="72">
        <f t="shared" si="4"/>
        <v>2</v>
      </c>
    </row>
    <row r="24" spans="1:7" x14ac:dyDescent="0.25">
      <c r="A24" s="63" t="s">
        <v>378</v>
      </c>
      <c r="B24" s="71">
        <v>1</v>
      </c>
      <c r="C24" s="71">
        <v>1</v>
      </c>
      <c r="D24" s="71">
        <v>3</v>
      </c>
      <c r="E24" s="71">
        <v>1</v>
      </c>
      <c r="F24" s="71">
        <v>1</v>
      </c>
      <c r="G24" s="72">
        <f t="shared" si="4"/>
        <v>2</v>
      </c>
    </row>
    <row r="25" spans="1:7" x14ac:dyDescent="0.25">
      <c r="A25" s="63" t="s">
        <v>379</v>
      </c>
      <c r="B25" s="71">
        <v>1</v>
      </c>
      <c r="C25" s="71">
        <v>1</v>
      </c>
      <c r="D25" s="71">
        <v>3</v>
      </c>
      <c r="E25" s="71">
        <v>1</v>
      </c>
      <c r="F25" s="71">
        <v>1</v>
      </c>
      <c r="G25" s="72">
        <f t="shared" si="4"/>
        <v>2</v>
      </c>
    </row>
    <row r="26" spans="1:7" ht="14.25" x14ac:dyDescent="0.45">
      <c r="A26" s="63" t="s">
        <v>380</v>
      </c>
      <c r="B26" s="71">
        <v>1</v>
      </c>
      <c r="C26" s="71">
        <v>1</v>
      </c>
      <c r="D26" s="71">
        <v>3</v>
      </c>
      <c r="E26" s="71">
        <v>1</v>
      </c>
      <c r="F26" s="71">
        <v>1</v>
      </c>
      <c r="G26" s="72">
        <f t="shared" si="4"/>
        <v>2</v>
      </c>
    </row>
    <row r="27" spans="1:7" x14ac:dyDescent="0.25">
      <c r="A27" s="53" t="s">
        <v>381</v>
      </c>
      <c r="B27" s="71">
        <f>SUM(B28:B36)</f>
        <v>9</v>
      </c>
      <c r="C27" s="71">
        <f t="shared" ref="C27:F27" si="5">SUM(C28:C36)</f>
        <v>9</v>
      </c>
      <c r="D27" s="71">
        <f t="shared" si="5"/>
        <v>27</v>
      </c>
      <c r="E27" s="71">
        <f t="shared" si="5"/>
        <v>9</v>
      </c>
      <c r="F27" s="71">
        <f t="shared" si="5"/>
        <v>9</v>
      </c>
      <c r="G27" s="71">
        <f>SUM(G28:G36)</f>
        <v>18</v>
      </c>
    </row>
    <row r="28" spans="1:7" x14ac:dyDescent="0.25">
      <c r="A28" s="69" t="s">
        <v>382</v>
      </c>
      <c r="B28" s="71">
        <v>1</v>
      </c>
      <c r="C28" s="71">
        <v>1</v>
      </c>
      <c r="D28" s="71">
        <v>3</v>
      </c>
      <c r="E28" s="71">
        <v>1</v>
      </c>
      <c r="F28" s="71">
        <v>1</v>
      </c>
      <c r="G28" s="72">
        <f>D28-E28</f>
        <v>2</v>
      </c>
    </row>
    <row r="29" spans="1:7" ht="14.25" x14ac:dyDescent="0.45">
      <c r="A29" s="63" t="s">
        <v>383</v>
      </c>
      <c r="B29" s="71">
        <v>1</v>
      </c>
      <c r="C29" s="71">
        <v>1</v>
      </c>
      <c r="D29" s="71">
        <v>3</v>
      </c>
      <c r="E29" s="71">
        <v>1</v>
      </c>
      <c r="F29" s="71">
        <v>1</v>
      </c>
      <c r="G29" s="72">
        <f t="shared" ref="G29:G36" si="6">D29-E29</f>
        <v>2</v>
      </c>
    </row>
    <row r="30" spans="1:7" x14ac:dyDescent="0.25">
      <c r="A30" s="63" t="s">
        <v>384</v>
      </c>
      <c r="B30" s="71">
        <v>1</v>
      </c>
      <c r="C30" s="71">
        <v>1</v>
      </c>
      <c r="D30" s="71">
        <v>3</v>
      </c>
      <c r="E30" s="71">
        <v>1</v>
      </c>
      <c r="F30" s="71">
        <v>1</v>
      </c>
      <c r="G30" s="72">
        <f t="shared" si="6"/>
        <v>2</v>
      </c>
    </row>
    <row r="31" spans="1:7" x14ac:dyDescent="0.25">
      <c r="A31" s="63" t="s">
        <v>385</v>
      </c>
      <c r="B31" s="71">
        <v>1</v>
      </c>
      <c r="C31" s="71">
        <v>1</v>
      </c>
      <c r="D31" s="71">
        <v>3</v>
      </c>
      <c r="E31" s="71">
        <v>1</v>
      </c>
      <c r="F31" s="71">
        <v>1</v>
      </c>
      <c r="G31" s="72">
        <f t="shared" si="6"/>
        <v>2</v>
      </c>
    </row>
    <row r="32" spans="1:7" ht="14.25" x14ac:dyDescent="0.45">
      <c r="A32" s="63" t="s">
        <v>386</v>
      </c>
      <c r="B32" s="71">
        <v>1</v>
      </c>
      <c r="C32" s="71">
        <v>1</v>
      </c>
      <c r="D32" s="71">
        <v>3</v>
      </c>
      <c r="E32" s="71">
        <v>1</v>
      </c>
      <c r="F32" s="71">
        <v>1</v>
      </c>
      <c r="G32" s="72">
        <f t="shared" si="6"/>
        <v>2</v>
      </c>
    </row>
    <row r="33" spans="1:7" ht="14.25" x14ac:dyDescent="0.45">
      <c r="A33" s="63" t="s">
        <v>387</v>
      </c>
      <c r="B33" s="71">
        <v>1</v>
      </c>
      <c r="C33" s="71">
        <v>1</v>
      </c>
      <c r="D33" s="71">
        <v>3</v>
      </c>
      <c r="E33" s="71">
        <v>1</v>
      </c>
      <c r="F33" s="71">
        <v>1</v>
      </c>
      <c r="G33" s="72">
        <f t="shared" si="6"/>
        <v>2</v>
      </c>
    </row>
    <row r="34" spans="1:7" ht="14.25" x14ac:dyDescent="0.45">
      <c r="A34" s="63" t="s">
        <v>388</v>
      </c>
      <c r="B34" s="71">
        <v>1</v>
      </c>
      <c r="C34" s="71">
        <v>1</v>
      </c>
      <c r="D34" s="71">
        <v>3</v>
      </c>
      <c r="E34" s="71">
        <v>1</v>
      </c>
      <c r="F34" s="71">
        <v>1</v>
      </c>
      <c r="G34" s="72">
        <f t="shared" si="6"/>
        <v>2</v>
      </c>
    </row>
    <row r="35" spans="1:7" x14ac:dyDescent="0.25">
      <c r="A35" s="63" t="s">
        <v>389</v>
      </c>
      <c r="B35" s="71">
        <v>1</v>
      </c>
      <c r="C35" s="71">
        <v>1</v>
      </c>
      <c r="D35" s="71">
        <v>3</v>
      </c>
      <c r="E35" s="71">
        <v>1</v>
      </c>
      <c r="F35" s="71">
        <v>1</v>
      </c>
      <c r="G35" s="72">
        <f t="shared" si="6"/>
        <v>2</v>
      </c>
    </row>
    <row r="36" spans="1:7" x14ac:dyDescent="0.25">
      <c r="A36" s="63" t="s">
        <v>390</v>
      </c>
      <c r="B36" s="71">
        <v>1</v>
      </c>
      <c r="C36" s="71">
        <v>1</v>
      </c>
      <c r="D36" s="71">
        <v>3</v>
      </c>
      <c r="E36" s="71">
        <v>1</v>
      </c>
      <c r="F36" s="71">
        <v>1</v>
      </c>
      <c r="G36" s="72">
        <f t="shared" si="6"/>
        <v>2</v>
      </c>
    </row>
    <row r="37" spans="1:7" ht="28.5" x14ac:dyDescent="0.45">
      <c r="A37" s="64" t="s">
        <v>398</v>
      </c>
      <c r="B37" s="71">
        <f>SUM(B38:B41)</f>
        <v>4</v>
      </c>
      <c r="C37" s="71">
        <f t="shared" ref="C37:F37" si="7">SUM(C38:C41)</f>
        <v>4</v>
      </c>
      <c r="D37" s="71">
        <f t="shared" si="7"/>
        <v>12</v>
      </c>
      <c r="E37" s="71">
        <f t="shared" si="7"/>
        <v>4</v>
      </c>
      <c r="F37" s="71">
        <f t="shared" si="7"/>
        <v>4</v>
      </c>
      <c r="G37" s="71">
        <f>SUM(G38:G41)</f>
        <v>8</v>
      </c>
    </row>
    <row r="38" spans="1:7" x14ac:dyDescent="0.25">
      <c r="A38" s="69" t="s">
        <v>391</v>
      </c>
      <c r="B38" s="71">
        <v>1</v>
      </c>
      <c r="C38" s="71">
        <v>1</v>
      </c>
      <c r="D38" s="71">
        <v>3</v>
      </c>
      <c r="E38" s="71">
        <v>1</v>
      </c>
      <c r="F38" s="71">
        <v>1</v>
      </c>
      <c r="G38" s="72">
        <f>D38-E38</f>
        <v>2</v>
      </c>
    </row>
    <row r="39" spans="1:7" ht="30" x14ac:dyDescent="0.25">
      <c r="A39" s="69" t="s">
        <v>392</v>
      </c>
      <c r="B39" s="72">
        <v>1</v>
      </c>
      <c r="C39" s="72">
        <v>1</v>
      </c>
      <c r="D39" s="72">
        <v>3</v>
      </c>
      <c r="E39" s="72">
        <v>1</v>
      </c>
      <c r="F39" s="72">
        <v>1</v>
      </c>
      <c r="G39" s="72">
        <f t="shared" ref="G39:G41" si="8">D39-E39</f>
        <v>2</v>
      </c>
    </row>
    <row r="40" spans="1:7" x14ac:dyDescent="0.25">
      <c r="A40" s="69" t="s">
        <v>393</v>
      </c>
      <c r="B40" s="72">
        <v>1</v>
      </c>
      <c r="C40" s="72">
        <v>1</v>
      </c>
      <c r="D40" s="72">
        <v>3</v>
      </c>
      <c r="E40" s="72">
        <v>1</v>
      </c>
      <c r="F40" s="72">
        <v>1</v>
      </c>
      <c r="G40" s="72">
        <f t="shared" si="8"/>
        <v>2</v>
      </c>
    </row>
    <row r="41" spans="1:7" x14ac:dyDescent="0.25">
      <c r="A41" s="69" t="s">
        <v>394</v>
      </c>
      <c r="B41" s="72">
        <v>1</v>
      </c>
      <c r="C41" s="72">
        <v>1</v>
      </c>
      <c r="D41" s="72">
        <v>3</v>
      </c>
      <c r="E41" s="72">
        <v>1</v>
      </c>
      <c r="F41" s="72">
        <v>1</v>
      </c>
      <c r="G41" s="72">
        <f t="shared" si="8"/>
        <v>2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28</v>
      </c>
      <c r="C43" s="73">
        <f t="shared" ref="C43:G43" si="9">SUM(C44,C53,C61,C71)</f>
        <v>28</v>
      </c>
      <c r="D43" s="73">
        <f t="shared" si="9"/>
        <v>84</v>
      </c>
      <c r="E43" s="73">
        <f t="shared" si="9"/>
        <v>28</v>
      </c>
      <c r="F43" s="73">
        <f t="shared" si="9"/>
        <v>28</v>
      </c>
      <c r="G43" s="73">
        <f t="shared" si="9"/>
        <v>56</v>
      </c>
    </row>
    <row r="44" spans="1:7" x14ac:dyDescent="0.25">
      <c r="A44" s="53" t="s">
        <v>430</v>
      </c>
      <c r="B44" s="72">
        <f>SUM(B45:B52)</f>
        <v>8</v>
      </c>
      <c r="C44" s="72">
        <f t="shared" ref="C44:G44" si="10">SUM(C45:C52)</f>
        <v>8</v>
      </c>
      <c r="D44" s="72">
        <f t="shared" si="10"/>
        <v>24</v>
      </c>
      <c r="E44" s="72">
        <f t="shared" si="10"/>
        <v>8</v>
      </c>
      <c r="F44" s="72">
        <f t="shared" si="10"/>
        <v>8</v>
      </c>
      <c r="G44" s="72">
        <f t="shared" si="10"/>
        <v>16</v>
      </c>
    </row>
    <row r="45" spans="1:7" x14ac:dyDescent="0.25">
      <c r="A45" s="69" t="s">
        <v>365</v>
      </c>
      <c r="B45" s="72">
        <v>1</v>
      </c>
      <c r="C45" s="72">
        <v>1</v>
      </c>
      <c r="D45" s="72">
        <v>3</v>
      </c>
      <c r="E45" s="72">
        <v>1</v>
      </c>
      <c r="F45" s="72">
        <v>1</v>
      </c>
      <c r="G45" s="72">
        <f>D45-E45</f>
        <v>2</v>
      </c>
    </row>
    <row r="46" spans="1:7" x14ac:dyDescent="0.25">
      <c r="A46" s="69" t="s">
        <v>366</v>
      </c>
      <c r="B46" s="72">
        <v>1</v>
      </c>
      <c r="C46" s="72">
        <v>1</v>
      </c>
      <c r="D46" s="72">
        <v>3</v>
      </c>
      <c r="E46" s="72">
        <v>1</v>
      </c>
      <c r="F46" s="72">
        <v>1</v>
      </c>
      <c r="G46" s="72">
        <f t="shared" ref="G46:G52" si="11">D46-E46</f>
        <v>2</v>
      </c>
    </row>
    <row r="47" spans="1:7" x14ac:dyDescent="0.25">
      <c r="A47" s="69" t="s">
        <v>367</v>
      </c>
      <c r="B47" s="72">
        <v>1</v>
      </c>
      <c r="C47" s="72">
        <v>1</v>
      </c>
      <c r="D47" s="72">
        <v>3</v>
      </c>
      <c r="E47" s="72">
        <v>1</v>
      </c>
      <c r="F47" s="72">
        <v>1</v>
      </c>
      <c r="G47" s="72">
        <f t="shared" si="11"/>
        <v>2</v>
      </c>
    </row>
    <row r="48" spans="1:7" x14ac:dyDescent="0.25">
      <c r="A48" s="69" t="s">
        <v>368</v>
      </c>
      <c r="B48" s="72">
        <v>1</v>
      </c>
      <c r="C48" s="72">
        <v>1</v>
      </c>
      <c r="D48" s="72">
        <v>3</v>
      </c>
      <c r="E48" s="72">
        <v>1</v>
      </c>
      <c r="F48" s="72">
        <v>1</v>
      </c>
      <c r="G48" s="72">
        <f t="shared" si="11"/>
        <v>2</v>
      </c>
    </row>
    <row r="49" spans="1:7" x14ac:dyDescent="0.25">
      <c r="A49" s="69" t="s">
        <v>369</v>
      </c>
      <c r="B49" s="72">
        <v>1</v>
      </c>
      <c r="C49" s="72">
        <v>1</v>
      </c>
      <c r="D49" s="72">
        <v>3</v>
      </c>
      <c r="E49" s="72">
        <v>1</v>
      </c>
      <c r="F49" s="72">
        <v>1</v>
      </c>
      <c r="G49" s="72">
        <f t="shared" si="11"/>
        <v>2</v>
      </c>
    </row>
    <row r="50" spans="1:7" x14ac:dyDescent="0.25">
      <c r="A50" s="69" t="s">
        <v>370</v>
      </c>
      <c r="B50" s="72">
        <v>1</v>
      </c>
      <c r="C50" s="72">
        <v>1</v>
      </c>
      <c r="D50" s="72">
        <v>3</v>
      </c>
      <c r="E50" s="72">
        <v>1</v>
      </c>
      <c r="F50" s="72">
        <v>1</v>
      </c>
      <c r="G50" s="72">
        <f t="shared" si="11"/>
        <v>2</v>
      </c>
    </row>
    <row r="51" spans="1:7" x14ac:dyDescent="0.25">
      <c r="A51" s="69" t="s">
        <v>371</v>
      </c>
      <c r="B51" s="72">
        <v>1</v>
      </c>
      <c r="C51" s="72">
        <v>1</v>
      </c>
      <c r="D51" s="72">
        <v>3</v>
      </c>
      <c r="E51" s="72">
        <v>1</v>
      </c>
      <c r="F51" s="72">
        <v>1</v>
      </c>
      <c r="G51" s="72">
        <f t="shared" si="11"/>
        <v>2</v>
      </c>
    </row>
    <row r="52" spans="1:7" x14ac:dyDescent="0.25">
      <c r="A52" s="69" t="s">
        <v>372</v>
      </c>
      <c r="B52" s="72">
        <v>1</v>
      </c>
      <c r="C52" s="72">
        <v>1</v>
      </c>
      <c r="D52" s="72">
        <v>3</v>
      </c>
      <c r="E52" s="72">
        <v>1</v>
      </c>
      <c r="F52" s="72">
        <v>1</v>
      </c>
      <c r="G52" s="72">
        <f t="shared" si="11"/>
        <v>2</v>
      </c>
    </row>
    <row r="53" spans="1:7" x14ac:dyDescent="0.25">
      <c r="A53" s="53" t="s">
        <v>373</v>
      </c>
      <c r="B53" s="71">
        <f>SUM(B54:B60)</f>
        <v>7</v>
      </c>
      <c r="C53" s="71">
        <f t="shared" ref="C53:G53" si="12">SUM(C54:C60)</f>
        <v>7</v>
      </c>
      <c r="D53" s="71">
        <f t="shared" si="12"/>
        <v>21</v>
      </c>
      <c r="E53" s="71">
        <f t="shared" si="12"/>
        <v>7</v>
      </c>
      <c r="F53" s="71">
        <f t="shared" si="12"/>
        <v>7</v>
      </c>
      <c r="G53" s="71">
        <f t="shared" si="12"/>
        <v>14</v>
      </c>
    </row>
    <row r="54" spans="1:7" x14ac:dyDescent="0.25">
      <c r="A54" s="69" t="s">
        <v>374</v>
      </c>
      <c r="B54" s="71">
        <v>1</v>
      </c>
      <c r="C54" s="71">
        <v>1</v>
      </c>
      <c r="D54" s="71">
        <v>3</v>
      </c>
      <c r="E54" s="71">
        <v>1</v>
      </c>
      <c r="F54" s="71">
        <v>1</v>
      </c>
      <c r="G54" s="72">
        <f>D54-E54</f>
        <v>2</v>
      </c>
    </row>
    <row r="55" spans="1:7" x14ac:dyDescent="0.25">
      <c r="A55" s="69" t="s">
        <v>375</v>
      </c>
      <c r="B55" s="71">
        <v>1</v>
      </c>
      <c r="C55" s="71">
        <v>1</v>
      </c>
      <c r="D55" s="71">
        <v>3</v>
      </c>
      <c r="E55" s="71">
        <v>1</v>
      </c>
      <c r="F55" s="71">
        <v>1</v>
      </c>
      <c r="G55" s="72">
        <f t="shared" ref="G55:G60" si="13">D55-E55</f>
        <v>2</v>
      </c>
    </row>
    <row r="56" spans="1:7" x14ac:dyDescent="0.25">
      <c r="A56" s="69" t="s">
        <v>376</v>
      </c>
      <c r="B56" s="71">
        <v>1</v>
      </c>
      <c r="C56" s="71">
        <v>1</v>
      </c>
      <c r="D56" s="71">
        <v>3</v>
      </c>
      <c r="E56" s="71">
        <v>1</v>
      </c>
      <c r="F56" s="71">
        <v>1</v>
      </c>
      <c r="G56" s="72">
        <f t="shared" si="13"/>
        <v>2</v>
      </c>
    </row>
    <row r="57" spans="1:7" x14ac:dyDescent="0.25">
      <c r="A57" s="48" t="s">
        <v>377</v>
      </c>
      <c r="B57" s="71">
        <v>1</v>
      </c>
      <c r="C57" s="71">
        <v>1</v>
      </c>
      <c r="D57" s="71">
        <v>3</v>
      </c>
      <c r="E57" s="71">
        <v>1</v>
      </c>
      <c r="F57" s="71">
        <v>1</v>
      </c>
      <c r="G57" s="72">
        <f t="shared" si="13"/>
        <v>2</v>
      </c>
    </row>
    <row r="58" spans="1:7" x14ac:dyDescent="0.25">
      <c r="A58" s="69" t="s">
        <v>378</v>
      </c>
      <c r="B58" s="71">
        <v>1</v>
      </c>
      <c r="C58" s="71">
        <v>1</v>
      </c>
      <c r="D58" s="71">
        <v>3</v>
      </c>
      <c r="E58" s="71">
        <v>1</v>
      </c>
      <c r="F58" s="71">
        <v>1</v>
      </c>
      <c r="G58" s="72">
        <f t="shared" si="13"/>
        <v>2</v>
      </c>
    </row>
    <row r="59" spans="1:7" x14ac:dyDescent="0.25">
      <c r="A59" s="69" t="s">
        <v>379</v>
      </c>
      <c r="B59" s="71">
        <v>1</v>
      </c>
      <c r="C59" s="71">
        <v>1</v>
      </c>
      <c r="D59" s="71">
        <v>3</v>
      </c>
      <c r="E59" s="71">
        <v>1</v>
      </c>
      <c r="F59" s="71">
        <v>1</v>
      </c>
      <c r="G59" s="72">
        <f t="shared" si="13"/>
        <v>2</v>
      </c>
    </row>
    <row r="60" spans="1:7" x14ac:dyDescent="0.25">
      <c r="A60" s="69" t="s">
        <v>380</v>
      </c>
      <c r="B60" s="71">
        <v>1</v>
      </c>
      <c r="C60" s="71">
        <v>1</v>
      </c>
      <c r="D60" s="71">
        <v>3</v>
      </c>
      <c r="E60" s="71">
        <v>1</v>
      </c>
      <c r="F60" s="71">
        <v>1</v>
      </c>
      <c r="G60" s="72">
        <f t="shared" si="13"/>
        <v>2</v>
      </c>
    </row>
    <row r="61" spans="1:7" x14ac:dyDescent="0.25">
      <c r="A61" s="53" t="s">
        <v>381</v>
      </c>
      <c r="B61" s="71">
        <f>SUM(B62:B70)</f>
        <v>9</v>
      </c>
      <c r="C61" s="71">
        <f t="shared" ref="C61:G61" si="14">SUM(C62:C70)</f>
        <v>9</v>
      </c>
      <c r="D61" s="71">
        <f t="shared" si="14"/>
        <v>27</v>
      </c>
      <c r="E61" s="71">
        <f t="shared" si="14"/>
        <v>9</v>
      </c>
      <c r="F61" s="71">
        <f t="shared" si="14"/>
        <v>9</v>
      </c>
      <c r="G61" s="71">
        <f t="shared" si="14"/>
        <v>18</v>
      </c>
    </row>
    <row r="62" spans="1:7" x14ac:dyDescent="0.25">
      <c r="A62" s="69" t="s">
        <v>382</v>
      </c>
      <c r="B62" s="71">
        <v>1</v>
      </c>
      <c r="C62" s="71">
        <v>1</v>
      </c>
      <c r="D62" s="71">
        <v>3</v>
      </c>
      <c r="E62" s="71">
        <v>1</v>
      </c>
      <c r="F62" s="71">
        <v>1</v>
      </c>
      <c r="G62" s="72">
        <f>D62-E62</f>
        <v>2</v>
      </c>
    </row>
    <row r="63" spans="1:7" x14ac:dyDescent="0.25">
      <c r="A63" s="69" t="s">
        <v>383</v>
      </c>
      <c r="B63" s="71">
        <v>1</v>
      </c>
      <c r="C63" s="71">
        <v>1</v>
      </c>
      <c r="D63" s="71">
        <v>3</v>
      </c>
      <c r="E63" s="71">
        <v>1</v>
      </c>
      <c r="F63" s="71">
        <v>1</v>
      </c>
      <c r="G63" s="72">
        <f t="shared" ref="G63:G70" si="15">D63-E63</f>
        <v>2</v>
      </c>
    </row>
    <row r="64" spans="1:7" x14ac:dyDescent="0.25">
      <c r="A64" s="69" t="s">
        <v>384</v>
      </c>
      <c r="B64" s="71">
        <v>1</v>
      </c>
      <c r="C64" s="71">
        <v>1</v>
      </c>
      <c r="D64" s="71">
        <v>3</v>
      </c>
      <c r="E64" s="71">
        <v>1</v>
      </c>
      <c r="F64" s="71">
        <v>1</v>
      </c>
      <c r="G64" s="72">
        <f t="shared" si="15"/>
        <v>2</v>
      </c>
    </row>
    <row r="65" spans="1:8" x14ac:dyDescent="0.25">
      <c r="A65" s="69" t="s">
        <v>385</v>
      </c>
      <c r="B65" s="71">
        <v>1</v>
      </c>
      <c r="C65" s="71">
        <v>1</v>
      </c>
      <c r="D65" s="71">
        <v>3</v>
      </c>
      <c r="E65" s="71">
        <v>1</v>
      </c>
      <c r="F65" s="71">
        <v>1</v>
      </c>
      <c r="G65" s="72">
        <f t="shared" si="15"/>
        <v>2</v>
      </c>
    </row>
    <row r="66" spans="1:8" x14ac:dyDescent="0.25">
      <c r="A66" s="69" t="s">
        <v>386</v>
      </c>
      <c r="B66" s="71">
        <v>1</v>
      </c>
      <c r="C66" s="71">
        <v>1</v>
      </c>
      <c r="D66" s="71">
        <v>3</v>
      </c>
      <c r="E66" s="71">
        <v>1</v>
      </c>
      <c r="F66" s="71">
        <v>1</v>
      </c>
      <c r="G66" s="72">
        <f t="shared" si="15"/>
        <v>2</v>
      </c>
    </row>
    <row r="67" spans="1:8" x14ac:dyDescent="0.25">
      <c r="A67" s="69" t="s">
        <v>387</v>
      </c>
      <c r="B67" s="71">
        <v>1</v>
      </c>
      <c r="C67" s="71">
        <v>1</v>
      </c>
      <c r="D67" s="71">
        <v>3</v>
      </c>
      <c r="E67" s="71">
        <v>1</v>
      </c>
      <c r="F67" s="71">
        <v>1</v>
      </c>
      <c r="G67" s="72">
        <f t="shared" si="15"/>
        <v>2</v>
      </c>
    </row>
    <row r="68" spans="1:8" x14ac:dyDescent="0.25">
      <c r="A68" s="69" t="s">
        <v>388</v>
      </c>
      <c r="B68" s="71">
        <v>1</v>
      </c>
      <c r="C68" s="71">
        <v>1</v>
      </c>
      <c r="D68" s="71">
        <v>3</v>
      </c>
      <c r="E68" s="71">
        <v>1</v>
      </c>
      <c r="F68" s="71">
        <v>1</v>
      </c>
      <c r="G68" s="72">
        <f t="shared" si="15"/>
        <v>2</v>
      </c>
    </row>
    <row r="69" spans="1:8" x14ac:dyDescent="0.25">
      <c r="A69" s="69" t="s">
        <v>389</v>
      </c>
      <c r="B69" s="71">
        <v>1</v>
      </c>
      <c r="C69" s="71">
        <v>1</v>
      </c>
      <c r="D69" s="71">
        <v>3</v>
      </c>
      <c r="E69" s="71">
        <v>1</v>
      </c>
      <c r="F69" s="71">
        <v>1</v>
      </c>
      <c r="G69" s="72">
        <f t="shared" si="15"/>
        <v>2</v>
      </c>
    </row>
    <row r="70" spans="1:8" x14ac:dyDescent="0.25">
      <c r="A70" s="69" t="s">
        <v>390</v>
      </c>
      <c r="B70" s="71">
        <v>1</v>
      </c>
      <c r="C70" s="71">
        <v>1</v>
      </c>
      <c r="D70" s="71">
        <v>3</v>
      </c>
      <c r="E70" s="71">
        <v>1</v>
      </c>
      <c r="F70" s="71">
        <v>1</v>
      </c>
      <c r="G70" s="72">
        <f t="shared" si="15"/>
        <v>2</v>
      </c>
    </row>
    <row r="71" spans="1:8" x14ac:dyDescent="0.25">
      <c r="A71" s="64" t="s">
        <v>3299</v>
      </c>
      <c r="B71" s="74">
        <f>SUM(B72:B75)</f>
        <v>4</v>
      </c>
      <c r="C71" s="74">
        <f t="shared" ref="C71:F71" si="16">SUM(C72:C75)</f>
        <v>4</v>
      </c>
      <c r="D71" s="74">
        <f t="shared" si="16"/>
        <v>12</v>
      </c>
      <c r="E71" s="74">
        <f t="shared" si="16"/>
        <v>4</v>
      </c>
      <c r="F71" s="74">
        <f t="shared" si="16"/>
        <v>4</v>
      </c>
      <c r="G71" s="74">
        <f>SUM(G72:G75)</f>
        <v>8</v>
      </c>
    </row>
    <row r="72" spans="1:8" x14ac:dyDescent="0.25">
      <c r="A72" s="69" t="s">
        <v>391</v>
      </c>
      <c r="B72" s="71">
        <v>1</v>
      </c>
      <c r="C72" s="71">
        <v>1</v>
      </c>
      <c r="D72" s="71">
        <v>3</v>
      </c>
      <c r="E72" s="71">
        <v>1</v>
      </c>
      <c r="F72" s="71">
        <v>1</v>
      </c>
      <c r="G72" s="72">
        <f>D72-E72</f>
        <v>2</v>
      </c>
    </row>
    <row r="73" spans="1:8" ht="30" x14ac:dyDescent="0.25">
      <c r="A73" s="69" t="s">
        <v>392</v>
      </c>
      <c r="B73" s="71">
        <v>1</v>
      </c>
      <c r="C73" s="71">
        <v>1</v>
      </c>
      <c r="D73" s="71">
        <v>3</v>
      </c>
      <c r="E73" s="71">
        <v>1</v>
      </c>
      <c r="F73" s="71">
        <v>1</v>
      </c>
      <c r="G73" s="72">
        <f t="shared" ref="G73:G75" si="17">D73-E73</f>
        <v>2</v>
      </c>
    </row>
    <row r="74" spans="1:8" x14ac:dyDescent="0.25">
      <c r="A74" s="69" t="s">
        <v>393</v>
      </c>
      <c r="B74" s="71">
        <v>1</v>
      </c>
      <c r="C74" s="71">
        <v>1</v>
      </c>
      <c r="D74" s="71">
        <v>3</v>
      </c>
      <c r="E74" s="71">
        <v>1</v>
      </c>
      <c r="F74" s="71">
        <v>1</v>
      </c>
      <c r="G74" s="72">
        <f t="shared" si="17"/>
        <v>2</v>
      </c>
    </row>
    <row r="75" spans="1:8" x14ac:dyDescent="0.25">
      <c r="A75" s="69" t="s">
        <v>394</v>
      </c>
      <c r="B75" s="71">
        <v>1</v>
      </c>
      <c r="C75" s="71">
        <v>1</v>
      </c>
      <c r="D75" s="71">
        <v>3</v>
      </c>
      <c r="E75" s="71">
        <v>1</v>
      </c>
      <c r="F75" s="71">
        <v>1</v>
      </c>
      <c r="G75" s="72">
        <f t="shared" si="17"/>
        <v>2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56</v>
      </c>
      <c r="C77" s="73">
        <f t="shared" ref="C77:F77" si="18">C43+C9</f>
        <v>56</v>
      </c>
      <c r="D77" s="73">
        <f t="shared" si="18"/>
        <v>168</v>
      </c>
      <c r="E77" s="73">
        <f t="shared" si="18"/>
        <v>56</v>
      </c>
      <c r="F77" s="73">
        <f t="shared" si="18"/>
        <v>56</v>
      </c>
      <c r="G77" s="73">
        <f>G43+G9</f>
        <v>112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28</v>
      </c>
      <c r="Q2" s="18">
        <f>'Formato 6 c)'!C9</f>
        <v>28</v>
      </c>
      <c r="R2" s="18">
        <f>'Formato 6 c)'!D9</f>
        <v>84</v>
      </c>
      <c r="S2" s="18">
        <f>'Formato 6 c)'!E9</f>
        <v>28</v>
      </c>
      <c r="T2" s="18">
        <f>'Formato 6 c)'!F9</f>
        <v>28</v>
      </c>
      <c r="U2" s="18">
        <f>'Formato 6 c)'!G9</f>
        <v>56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8</v>
      </c>
      <c r="Q3" s="18">
        <f>'Formato 6 c)'!C10</f>
        <v>8</v>
      </c>
      <c r="R3" s="18">
        <f>'Formato 6 c)'!D10</f>
        <v>24</v>
      </c>
      <c r="S3" s="18">
        <f>'Formato 6 c)'!E10</f>
        <v>8</v>
      </c>
      <c r="T3" s="18">
        <f>'Formato 6 c)'!F10</f>
        <v>8</v>
      </c>
      <c r="U3" s="18">
        <f>'Formato 6 c)'!G10</f>
        <v>16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1</v>
      </c>
      <c r="Q4" s="18">
        <f>'Formato 6 c)'!C11</f>
        <v>1</v>
      </c>
      <c r="R4" s="18">
        <f>'Formato 6 c)'!D11</f>
        <v>3</v>
      </c>
      <c r="S4" s="18">
        <f>'Formato 6 c)'!E11</f>
        <v>1</v>
      </c>
      <c r="T4" s="18">
        <f>'Formato 6 c)'!F11</f>
        <v>1</v>
      </c>
      <c r="U4" s="18">
        <f>'Formato 6 c)'!G11</f>
        <v>2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1</v>
      </c>
      <c r="Q5" s="18">
        <f>'Formato 6 c)'!C12</f>
        <v>1</v>
      </c>
      <c r="R5" s="18">
        <f>'Formato 6 c)'!D12</f>
        <v>3</v>
      </c>
      <c r="S5" s="18">
        <f>'Formato 6 c)'!E12</f>
        <v>1</v>
      </c>
      <c r="T5" s="18">
        <f>'Formato 6 c)'!F12</f>
        <v>1</v>
      </c>
      <c r="U5" s="18">
        <f>'Formato 6 c)'!G12</f>
        <v>2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1</v>
      </c>
      <c r="Q6" s="18">
        <f>'Formato 6 c)'!C13</f>
        <v>1</v>
      </c>
      <c r="R6" s="18">
        <f>'Formato 6 c)'!D13</f>
        <v>3</v>
      </c>
      <c r="S6" s="18">
        <f>'Formato 6 c)'!E13</f>
        <v>1</v>
      </c>
      <c r="T6" s="18">
        <f>'Formato 6 c)'!F13</f>
        <v>1</v>
      </c>
      <c r="U6" s="18">
        <f>'Formato 6 c)'!G13</f>
        <v>2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1</v>
      </c>
      <c r="Q7" s="18">
        <f>'Formato 6 c)'!C14</f>
        <v>1</v>
      </c>
      <c r="R7" s="18">
        <f>'Formato 6 c)'!D14</f>
        <v>3</v>
      </c>
      <c r="S7" s="18">
        <f>'Formato 6 c)'!E14</f>
        <v>1</v>
      </c>
      <c r="T7" s="18">
        <f>'Formato 6 c)'!F14</f>
        <v>1</v>
      </c>
      <c r="U7" s="18">
        <f>'Formato 6 c)'!G14</f>
        <v>2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1</v>
      </c>
      <c r="Q8" s="18">
        <f>'Formato 6 c)'!C15</f>
        <v>1</v>
      </c>
      <c r="R8" s="18">
        <f>'Formato 6 c)'!D15</f>
        <v>3</v>
      </c>
      <c r="S8" s="18">
        <f>'Formato 6 c)'!E15</f>
        <v>1</v>
      </c>
      <c r="T8" s="18">
        <f>'Formato 6 c)'!F15</f>
        <v>1</v>
      </c>
      <c r="U8" s="18">
        <f>'Formato 6 c)'!G15</f>
        <v>2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1</v>
      </c>
      <c r="Q9" s="18">
        <f>'Formato 6 c)'!C16</f>
        <v>1</v>
      </c>
      <c r="R9" s="18">
        <f>'Formato 6 c)'!D16</f>
        <v>3</v>
      </c>
      <c r="S9" s="18">
        <f>'Formato 6 c)'!E16</f>
        <v>1</v>
      </c>
      <c r="T9" s="18">
        <f>'Formato 6 c)'!F16</f>
        <v>1</v>
      </c>
      <c r="U9" s="18">
        <f>'Formato 6 c)'!G16</f>
        <v>2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1</v>
      </c>
      <c r="Q10" s="18">
        <f>'Formato 6 c)'!C17</f>
        <v>1</v>
      </c>
      <c r="R10" s="18">
        <f>'Formato 6 c)'!D17</f>
        <v>3</v>
      </c>
      <c r="S10" s="18">
        <f>'Formato 6 c)'!E17</f>
        <v>1</v>
      </c>
      <c r="T10" s="18">
        <f>'Formato 6 c)'!F17</f>
        <v>1</v>
      </c>
      <c r="U10" s="18">
        <f>'Formato 6 c)'!G17</f>
        <v>2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1</v>
      </c>
      <c r="Q11" s="18">
        <f>'Formato 6 c)'!C18</f>
        <v>1</v>
      </c>
      <c r="R11" s="18">
        <f>'Formato 6 c)'!D18</f>
        <v>3</v>
      </c>
      <c r="S11" s="18">
        <f>'Formato 6 c)'!E18</f>
        <v>1</v>
      </c>
      <c r="T11" s="18">
        <f>'Formato 6 c)'!F18</f>
        <v>1</v>
      </c>
      <c r="U11" s="18">
        <f>'Formato 6 c)'!G18</f>
        <v>2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7</v>
      </c>
      <c r="Q12" s="18">
        <f>'Formato 6 c)'!C19</f>
        <v>7</v>
      </c>
      <c r="R12" s="18">
        <f>'Formato 6 c)'!D19</f>
        <v>21</v>
      </c>
      <c r="S12" s="18">
        <f>'Formato 6 c)'!E19</f>
        <v>7</v>
      </c>
      <c r="T12" s="18">
        <f>'Formato 6 c)'!F19</f>
        <v>7</v>
      </c>
      <c r="U12" s="18">
        <f>'Formato 6 c)'!G19</f>
        <v>14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1</v>
      </c>
      <c r="Q13" s="18">
        <f>'Formato 6 c)'!C20</f>
        <v>1</v>
      </c>
      <c r="R13" s="18">
        <f>'Formato 6 c)'!D20</f>
        <v>3</v>
      </c>
      <c r="S13" s="18">
        <f>'Formato 6 c)'!E20</f>
        <v>1</v>
      </c>
      <c r="T13" s="18">
        <f>'Formato 6 c)'!F20</f>
        <v>1</v>
      </c>
      <c r="U13" s="18">
        <f>'Formato 6 c)'!G20</f>
        <v>2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</v>
      </c>
      <c r="Q14" s="18">
        <f>'Formato 6 c)'!C21</f>
        <v>1</v>
      </c>
      <c r="R14" s="18">
        <f>'Formato 6 c)'!D21</f>
        <v>3</v>
      </c>
      <c r="S14" s="18">
        <f>'Formato 6 c)'!E21</f>
        <v>1</v>
      </c>
      <c r="T14" s="18">
        <f>'Formato 6 c)'!F21</f>
        <v>1</v>
      </c>
      <c r="U14" s="18">
        <f>'Formato 6 c)'!G21</f>
        <v>2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1</v>
      </c>
      <c r="Q15" s="18">
        <f>'Formato 6 c)'!C22</f>
        <v>1</v>
      </c>
      <c r="R15" s="18">
        <f>'Formato 6 c)'!D22</f>
        <v>3</v>
      </c>
      <c r="S15" s="18">
        <f>'Formato 6 c)'!E22</f>
        <v>1</v>
      </c>
      <c r="T15" s="18">
        <f>'Formato 6 c)'!F22</f>
        <v>1</v>
      </c>
      <c r="U15" s="18">
        <f>'Formato 6 c)'!G22</f>
        <v>2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1</v>
      </c>
      <c r="Q16" s="18">
        <f>'Formato 6 c)'!C23</f>
        <v>1</v>
      </c>
      <c r="R16" s="18">
        <f>'Formato 6 c)'!D23</f>
        <v>3</v>
      </c>
      <c r="S16" s="18">
        <f>'Formato 6 c)'!E23</f>
        <v>1</v>
      </c>
      <c r="T16" s="18">
        <f>'Formato 6 c)'!F23</f>
        <v>1</v>
      </c>
      <c r="U16" s="18">
        <f>'Formato 6 c)'!G23</f>
        <v>2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1</v>
      </c>
      <c r="Q17" s="18">
        <f>'Formato 6 c)'!C24</f>
        <v>1</v>
      </c>
      <c r="R17" s="18">
        <f>'Formato 6 c)'!D24</f>
        <v>3</v>
      </c>
      <c r="S17" s="18">
        <f>'Formato 6 c)'!E24</f>
        <v>1</v>
      </c>
      <c r="T17" s="18">
        <f>'Formato 6 c)'!F24</f>
        <v>1</v>
      </c>
      <c r="U17" s="18">
        <f>'Formato 6 c)'!G24</f>
        <v>2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1</v>
      </c>
      <c r="Q18" s="18">
        <f>'Formato 6 c)'!C25</f>
        <v>1</v>
      </c>
      <c r="R18" s="18">
        <f>'Formato 6 c)'!D25</f>
        <v>3</v>
      </c>
      <c r="S18" s="18">
        <f>'Formato 6 c)'!E25</f>
        <v>1</v>
      </c>
      <c r="T18" s="18">
        <f>'Formato 6 c)'!F25</f>
        <v>1</v>
      </c>
      <c r="U18" s="18">
        <f>'Formato 6 c)'!G25</f>
        <v>2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1</v>
      </c>
      <c r="Q19" s="18">
        <f>'Formato 6 c)'!C26</f>
        <v>1</v>
      </c>
      <c r="R19" s="18">
        <f>'Formato 6 c)'!D26</f>
        <v>3</v>
      </c>
      <c r="S19" s="18">
        <f>'Formato 6 c)'!E26</f>
        <v>1</v>
      </c>
      <c r="T19" s="18">
        <f>'Formato 6 c)'!F26</f>
        <v>1</v>
      </c>
      <c r="U19" s="18">
        <f>'Formato 6 c)'!G26</f>
        <v>2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9</v>
      </c>
      <c r="Q20" s="18">
        <f>'Formato 6 c)'!C27</f>
        <v>9</v>
      </c>
      <c r="R20" s="18">
        <f>'Formato 6 c)'!D27</f>
        <v>27</v>
      </c>
      <c r="S20" s="18">
        <f>'Formato 6 c)'!E27</f>
        <v>9</v>
      </c>
      <c r="T20" s="18">
        <f>'Formato 6 c)'!F27</f>
        <v>9</v>
      </c>
      <c r="U20" s="18">
        <f>'Formato 6 c)'!G27</f>
        <v>18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1</v>
      </c>
      <c r="Q21" s="18">
        <f>'Formato 6 c)'!C28</f>
        <v>1</v>
      </c>
      <c r="R21" s="18">
        <f>'Formato 6 c)'!D28</f>
        <v>3</v>
      </c>
      <c r="S21" s="18">
        <f>'Formato 6 c)'!E28</f>
        <v>1</v>
      </c>
      <c r="T21" s="18">
        <f>'Formato 6 c)'!F28</f>
        <v>1</v>
      </c>
      <c r="U21" s="18">
        <f>'Formato 6 c)'!G28</f>
        <v>2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1</v>
      </c>
      <c r="Q22" s="18">
        <f>'Formato 6 c)'!C29</f>
        <v>1</v>
      </c>
      <c r="R22" s="18">
        <f>'Formato 6 c)'!D29</f>
        <v>3</v>
      </c>
      <c r="S22" s="18">
        <f>'Formato 6 c)'!E29</f>
        <v>1</v>
      </c>
      <c r="T22" s="18">
        <f>'Formato 6 c)'!F29</f>
        <v>1</v>
      </c>
      <c r="U22" s="18">
        <f>'Formato 6 c)'!G29</f>
        <v>2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1</v>
      </c>
      <c r="Q23" s="18">
        <f>'Formato 6 c)'!C30</f>
        <v>1</v>
      </c>
      <c r="R23" s="18">
        <f>'Formato 6 c)'!D30</f>
        <v>3</v>
      </c>
      <c r="S23" s="18">
        <f>'Formato 6 c)'!E30</f>
        <v>1</v>
      </c>
      <c r="T23" s="18">
        <f>'Formato 6 c)'!F30</f>
        <v>1</v>
      </c>
      <c r="U23" s="18">
        <f>'Formato 6 c)'!G30</f>
        <v>2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1</v>
      </c>
      <c r="Q24" s="18">
        <f>'Formato 6 c)'!C31</f>
        <v>1</v>
      </c>
      <c r="R24" s="18">
        <f>'Formato 6 c)'!D31</f>
        <v>3</v>
      </c>
      <c r="S24" s="18">
        <f>'Formato 6 c)'!E31</f>
        <v>1</v>
      </c>
      <c r="T24" s="18">
        <f>'Formato 6 c)'!F31</f>
        <v>1</v>
      </c>
      <c r="U24" s="18">
        <f>'Formato 6 c)'!G31</f>
        <v>2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1</v>
      </c>
      <c r="Q25" s="18">
        <f>'Formato 6 c)'!C32</f>
        <v>1</v>
      </c>
      <c r="R25" s="18">
        <f>'Formato 6 c)'!D32</f>
        <v>3</v>
      </c>
      <c r="S25" s="18">
        <f>'Formato 6 c)'!E32</f>
        <v>1</v>
      </c>
      <c r="T25" s="18">
        <f>'Formato 6 c)'!F32</f>
        <v>1</v>
      </c>
      <c r="U25" s="18">
        <f>'Formato 6 c)'!G32</f>
        <v>2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1</v>
      </c>
      <c r="Q26" s="18">
        <f>'Formato 6 c)'!C33</f>
        <v>1</v>
      </c>
      <c r="R26" s="18">
        <f>'Formato 6 c)'!D33</f>
        <v>3</v>
      </c>
      <c r="S26" s="18">
        <f>'Formato 6 c)'!E33</f>
        <v>1</v>
      </c>
      <c r="T26" s="18">
        <f>'Formato 6 c)'!F33</f>
        <v>1</v>
      </c>
      <c r="U26" s="18">
        <f>'Formato 6 c)'!G33</f>
        <v>2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1</v>
      </c>
      <c r="Q27" s="18">
        <f>'Formato 6 c)'!C34</f>
        <v>1</v>
      </c>
      <c r="R27" s="18">
        <f>'Formato 6 c)'!D34</f>
        <v>3</v>
      </c>
      <c r="S27" s="18">
        <f>'Formato 6 c)'!E34</f>
        <v>1</v>
      </c>
      <c r="T27" s="18">
        <f>'Formato 6 c)'!F34</f>
        <v>1</v>
      </c>
      <c r="U27" s="18">
        <f>'Formato 6 c)'!G34</f>
        <v>2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1</v>
      </c>
      <c r="Q28" s="18">
        <f>'Formato 6 c)'!C35</f>
        <v>1</v>
      </c>
      <c r="R28" s="18">
        <f>'Formato 6 c)'!D35</f>
        <v>3</v>
      </c>
      <c r="S28" s="18">
        <f>'Formato 6 c)'!E35</f>
        <v>1</v>
      </c>
      <c r="T28" s="18">
        <f>'Formato 6 c)'!F35</f>
        <v>1</v>
      </c>
      <c r="U28" s="18">
        <f>'Formato 6 c)'!G35</f>
        <v>2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1</v>
      </c>
      <c r="Q29" s="18">
        <f>'Formato 6 c)'!C36</f>
        <v>1</v>
      </c>
      <c r="R29" s="18">
        <f>'Formato 6 c)'!D36</f>
        <v>3</v>
      </c>
      <c r="S29" s="18">
        <f>'Formato 6 c)'!E36</f>
        <v>1</v>
      </c>
      <c r="T29" s="18">
        <f>'Formato 6 c)'!F36</f>
        <v>1</v>
      </c>
      <c r="U29" s="18">
        <f>'Formato 6 c)'!G36</f>
        <v>2</v>
      </c>
    </row>
    <row r="30" spans="1:21" ht="14.25" x14ac:dyDescent="0.4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4</v>
      </c>
      <c r="Q30" s="18">
        <f>'Formato 6 c)'!C37</f>
        <v>4</v>
      </c>
      <c r="R30" s="18">
        <f>'Formato 6 c)'!D37</f>
        <v>12</v>
      </c>
      <c r="S30" s="18">
        <f>'Formato 6 c)'!E37</f>
        <v>4</v>
      </c>
      <c r="T30" s="18">
        <f>'Formato 6 c)'!F37</f>
        <v>4</v>
      </c>
      <c r="U30" s="18">
        <f>'Formato 6 c)'!G37</f>
        <v>8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1</v>
      </c>
      <c r="Q31" s="18">
        <f>'Formato 6 c)'!C38</f>
        <v>1</v>
      </c>
      <c r="R31" s="18">
        <f>'Formato 6 c)'!D38</f>
        <v>3</v>
      </c>
      <c r="S31" s="18">
        <f>'Formato 6 c)'!E38</f>
        <v>1</v>
      </c>
      <c r="T31" s="18">
        <f>'Formato 6 c)'!F38</f>
        <v>1</v>
      </c>
      <c r="U31" s="18">
        <f>'Formato 6 c)'!G38</f>
        <v>2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1</v>
      </c>
      <c r="Q32" s="18">
        <f>'Formato 6 c)'!C39</f>
        <v>1</v>
      </c>
      <c r="R32" s="18">
        <f>'Formato 6 c)'!D39</f>
        <v>3</v>
      </c>
      <c r="S32" s="18">
        <f>'Formato 6 c)'!E39</f>
        <v>1</v>
      </c>
      <c r="T32" s="18">
        <f>'Formato 6 c)'!F39</f>
        <v>1</v>
      </c>
      <c r="U32" s="18">
        <f>'Formato 6 c)'!G39</f>
        <v>2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1</v>
      </c>
      <c r="Q33" s="18">
        <f>'Formato 6 c)'!C40</f>
        <v>1</v>
      </c>
      <c r="R33" s="18">
        <f>'Formato 6 c)'!D40</f>
        <v>3</v>
      </c>
      <c r="S33" s="18">
        <f>'Formato 6 c)'!E40</f>
        <v>1</v>
      </c>
      <c r="T33" s="18">
        <f>'Formato 6 c)'!F40</f>
        <v>1</v>
      </c>
      <c r="U33" s="18">
        <f>'Formato 6 c)'!G40</f>
        <v>2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1</v>
      </c>
      <c r="Q34" s="18">
        <f>'Formato 6 c)'!C41</f>
        <v>1</v>
      </c>
      <c r="R34" s="18">
        <f>'Formato 6 c)'!D41</f>
        <v>3</v>
      </c>
      <c r="S34" s="18">
        <f>'Formato 6 c)'!E41</f>
        <v>1</v>
      </c>
      <c r="T34" s="18">
        <f>'Formato 6 c)'!F41</f>
        <v>1</v>
      </c>
      <c r="U34" s="18">
        <f>'Formato 6 c)'!G41</f>
        <v>2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28</v>
      </c>
      <c r="Q35" s="18">
        <f>'Formato 6 c)'!C43</f>
        <v>28</v>
      </c>
      <c r="R35" s="18">
        <f>'Formato 6 c)'!D43</f>
        <v>84</v>
      </c>
      <c r="S35" s="18">
        <f>'Formato 6 c)'!E43</f>
        <v>28</v>
      </c>
      <c r="T35" s="18">
        <f>'Formato 6 c)'!F43</f>
        <v>28</v>
      </c>
      <c r="U35" s="18">
        <f>'Formato 6 c)'!G43</f>
        <v>56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8</v>
      </c>
      <c r="Q36" s="18">
        <f>'Formato 6 c)'!C44</f>
        <v>8</v>
      </c>
      <c r="R36" s="18">
        <f>'Formato 6 c)'!D44</f>
        <v>24</v>
      </c>
      <c r="S36" s="18">
        <f>'Formato 6 c)'!E44</f>
        <v>8</v>
      </c>
      <c r="T36" s="18">
        <f>'Formato 6 c)'!F44</f>
        <v>8</v>
      </c>
      <c r="U36" s="18">
        <f>'Formato 6 c)'!G44</f>
        <v>16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1</v>
      </c>
      <c r="Q37" s="18">
        <f>'Formato 6 c)'!C45</f>
        <v>1</v>
      </c>
      <c r="R37" s="18">
        <f>'Formato 6 c)'!D45</f>
        <v>3</v>
      </c>
      <c r="S37" s="18">
        <f>'Formato 6 c)'!E45</f>
        <v>1</v>
      </c>
      <c r="T37" s="18">
        <f>'Formato 6 c)'!F45</f>
        <v>1</v>
      </c>
      <c r="U37" s="18">
        <f>'Formato 6 c)'!G45</f>
        <v>2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1</v>
      </c>
      <c r="Q38" s="18">
        <f>'Formato 6 c)'!C46</f>
        <v>1</v>
      </c>
      <c r="R38" s="18">
        <f>'Formato 6 c)'!D46</f>
        <v>3</v>
      </c>
      <c r="S38" s="18">
        <f>'Formato 6 c)'!E46</f>
        <v>1</v>
      </c>
      <c r="T38" s="18">
        <f>'Formato 6 c)'!F46</f>
        <v>1</v>
      </c>
      <c r="U38" s="18">
        <f>'Formato 6 c)'!G46</f>
        <v>2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1</v>
      </c>
      <c r="Q39" s="18">
        <f>'Formato 6 c)'!C47</f>
        <v>1</v>
      </c>
      <c r="R39" s="18">
        <f>'Formato 6 c)'!D47</f>
        <v>3</v>
      </c>
      <c r="S39" s="18">
        <f>'Formato 6 c)'!E47</f>
        <v>1</v>
      </c>
      <c r="T39" s="18">
        <f>'Formato 6 c)'!F47</f>
        <v>1</v>
      </c>
      <c r="U39" s="18">
        <f>'Formato 6 c)'!G47</f>
        <v>2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1</v>
      </c>
      <c r="Q40" s="18">
        <f>'Formato 6 c)'!C48</f>
        <v>1</v>
      </c>
      <c r="R40" s="18">
        <f>'Formato 6 c)'!D48</f>
        <v>3</v>
      </c>
      <c r="S40" s="18">
        <f>'Formato 6 c)'!E48</f>
        <v>1</v>
      </c>
      <c r="T40" s="18">
        <f>'Formato 6 c)'!F48</f>
        <v>1</v>
      </c>
      <c r="U40" s="18">
        <f>'Formato 6 c)'!G48</f>
        <v>2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1</v>
      </c>
      <c r="Q41" s="18">
        <f>'Formato 6 c)'!C49</f>
        <v>1</v>
      </c>
      <c r="R41" s="18">
        <f>'Formato 6 c)'!D49</f>
        <v>3</v>
      </c>
      <c r="S41" s="18">
        <f>'Formato 6 c)'!E49</f>
        <v>1</v>
      </c>
      <c r="T41" s="18">
        <f>'Formato 6 c)'!F49</f>
        <v>1</v>
      </c>
      <c r="U41" s="18">
        <f>'Formato 6 c)'!G49</f>
        <v>2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1</v>
      </c>
      <c r="Q42" s="18">
        <f>'Formato 6 c)'!C50</f>
        <v>1</v>
      </c>
      <c r="R42" s="18">
        <f>'Formato 6 c)'!D50</f>
        <v>3</v>
      </c>
      <c r="S42" s="18">
        <f>'Formato 6 c)'!E50</f>
        <v>1</v>
      </c>
      <c r="T42" s="18">
        <f>'Formato 6 c)'!F50</f>
        <v>1</v>
      </c>
      <c r="U42" s="18">
        <f>'Formato 6 c)'!G50</f>
        <v>2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1</v>
      </c>
      <c r="Q43" s="18">
        <f>'Formato 6 c)'!C51</f>
        <v>1</v>
      </c>
      <c r="R43" s="18">
        <f>'Formato 6 c)'!D51</f>
        <v>3</v>
      </c>
      <c r="S43" s="18">
        <f>'Formato 6 c)'!E51</f>
        <v>1</v>
      </c>
      <c r="T43" s="18">
        <f>'Formato 6 c)'!F51</f>
        <v>1</v>
      </c>
      <c r="U43" s="18">
        <f>'Formato 6 c)'!G51</f>
        <v>2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1</v>
      </c>
      <c r="Q44" s="18">
        <f>'Formato 6 c)'!C52</f>
        <v>1</v>
      </c>
      <c r="R44" s="18">
        <f>'Formato 6 c)'!D52</f>
        <v>3</v>
      </c>
      <c r="S44" s="18">
        <f>'Formato 6 c)'!E52</f>
        <v>1</v>
      </c>
      <c r="T44" s="18">
        <f>'Formato 6 c)'!F52</f>
        <v>1</v>
      </c>
      <c r="U44" s="18">
        <f>'Formato 6 c)'!G52</f>
        <v>2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7</v>
      </c>
      <c r="Q45" s="18">
        <f>'Formato 6 c)'!C53</f>
        <v>7</v>
      </c>
      <c r="R45" s="18">
        <f>'Formato 6 c)'!D53</f>
        <v>21</v>
      </c>
      <c r="S45" s="18">
        <f>'Formato 6 c)'!E53</f>
        <v>7</v>
      </c>
      <c r="T45" s="18">
        <f>'Formato 6 c)'!F53</f>
        <v>7</v>
      </c>
      <c r="U45" s="18">
        <f>'Formato 6 c)'!G53</f>
        <v>14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1</v>
      </c>
      <c r="Q46" s="18">
        <f>'Formato 6 c)'!C54</f>
        <v>1</v>
      </c>
      <c r="R46" s="18">
        <f>'Formato 6 c)'!D54</f>
        <v>3</v>
      </c>
      <c r="S46" s="18">
        <f>'Formato 6 c)'!E54</f>
        <v>1</v>
      </c>
      <c r="T46" s="18">
        <f>'Formato 6 c)'!F54</f>
        <v>1</v>
      </c>
      <c r="U46" s="18">
        <f>'Formato 6 c)'!G54</f>
        <v>2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1</v>
      </c>
      <c r="Q47" s="18">
        <f>'Formato 6 c)'!C55</f>
        <v>1</v>
      </c>
      <c r="R47" s="18">
        <f>'Formato 6 c)'!D55</f>
        <v>3</v>
      </c>
      <c r="S47" s="18">
        <f>'Formato 6 c)'!E55</f>
        <v>1</v>
      </c>
      <c r="T47" s="18">
        <f>'Formato 6 c)'!F55</f>
        <v>1</v>
      </c>
      <c r="U47" s="18">
        <f>'Formato 6 c)'!G55</f>
        <v>2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1</v>
      </c>
      <c r="Q48" s="18">
        <f>'Formato 6 c)'!C56</f>
        <v>1</v>
      </c>
      <c r="R48" s="18">
        <f>'Formato 6 c)'!D56</f>
        <v>3</v>
      </c>
      <c r="S48" s="18">
        <f>'Formato 6 c)'!E56</f>
        <v>1</v>
      </c>
      <c r="T48" s="18">
        <f>'Formato 6 c)'!F56</f>
        <v>1</v>
      </c>
      <c r="U48" s="18">
        <f>'Formato 6 c)'!G56</f>
        <v>2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1</v>
      </c>
      <c r="Q49" s="18">
        <f>'Formato 6 c)'!C57</f>
        <v>1</v>
      </c>
      <c r="R49" s="18">
        <f>'Formato 6 c)'!D57</f>
        <v>3</v>
      </c>
      <c r="S49" s="18">
        <f>'Formato 6 c)'!E57</f>
        <v>1</v>
      </c>
      <c r="T49" s="18">
        <f>'Formato 6 c)'!F57</f>
        <v>1</v>
      </c>
      <c r="U49" s="18">
        <f>'Formato 6 c)'!G57</f>
        <v>2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1</v>
      </c>
      <c r="Q50" s="18">
        <f>'Formato 6 c)'!C58</f>
        <v>1</v>
      </c>
      <c r="R50" s="18">
        <f>'Formato 6 c)'!D58</f>
        <v>3</v>
      </c>
      <c r="S50" s="18">
        <f>'Formato 6 c)'!E58</f>
        <v>1</v>
      </c>
      <c r="T50" s="18">
        <f>'Formato 6 c)'!F58</f>
        <v>1</v>
      </c>
      <c r="U50" s="18">
        <f>'Formato 6 c)'!G58</f>
        <v>2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1</v>
      </c>
      <c r="Q51" s="18">
        <f>'Formato 6 c)'!C59</f>
        <v>1</v>
      </c>
      <c r="R51" s="18">
        <f>'Formato 6 c)'!D59</f>
        <v>3</v>
      </c>
      <c r="S51" s="18">
        <f>'Formato 6 c)'!E59</f>
        <v>1</v>
      </c>
      <c r="T51" s="18">
        <f>'Formato 6 c)'!F59</f>
        <v>1</v>
      </c>
      <c r="U51" s="18">
        <f>'Formato 6 c)'!G59</f>
        <v>2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1</v>
      </c>
      <c r="Q52" s="18">
        <f>'Formato 6 c)'!C60</f>
        <v>1</v>
      </c>
      <c r="R52" s="18">
        <f>'Formato 6 c)'!D60</f>
        <v>3</v>
      </c>
      <c r="S52" s="18">
        <f>'Formato 6 c)'!E60</f>
        <v>1</v>
      </c>
      <c r="T52" s="18">
        <f>'Formato 6 c)'!F60</f>
        <v>1</v>
      </c>
      <c r="U52" s="18">
        <f>'Formato 6 c)'!G60</f>
        <v>2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9</v>
      </c>
      <c r="Q53" s="18">
        <f>'Formato 6 c)'!C61</f>
        <v>9</v>
      </c>
      <c r="R53" s="18">
        <f>'Formato 6 c)'!D61</f>
        <v>27</v>
      </c>
      <c r="S53" s="18">
        <f>'Formato 6 c)'!E61</f>
        <v>9</v>
      </c>
      <c r="T53" s="18">
        <f>'Formato 6 c)'!F61</f>
        <v>9</v>
      </c>
      <c r="U53" s="18">
        <f>'Formato 6 c)'!G61</f>
        <v>18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1</v>
      </c>
      <c r="Q54" s="18">
        <f>'Formato 6 c)'!C62</f>
        <v>1</v>
      </c>
      <c r="R54" s="18">
        <f>'Formato 6 c)'!D62</f>
        <v>3</v>
      </c>
      <c r="S54" s="18">
        <f>'Formato 6 c)'!E62</f>
        <v>1</v>
      </c>
      <c r="T54" s="18">
        <f>'Formato 6 c)'!F62</f>
        <v>1</v>
      </c>
      <c r="U54" s="18">
        <f>'Formato 6 c)'!G62</f>
        <v>2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1</v>
      </c>
      <c r="Q55" s="18">
        <f>'Formato 6 c)'!C63</f>
        <v>1</v>
      </c>
      <c r="R55" s="18">
        <f>'Formato 6 c)'!D63</f>
        <v>3</v>
      </c>
      <c r="S55" s="18">
        <f>'Formato 6 c)'!E63</f>
        <v>1</v>
      </c>
      <c r="T55" s="18">
        <f>'Formato 6 c)'!F63</f>
        <v>1</v>
      </c>
      <c r="U55" s="18">
        <f>'Formato 6 c)'!G63</f>
        <v>2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1</v>
      </c>
      <c r="Q56" s="18">
        <f>'Formato 6 c)'!C64</f>
        <v>1</v>
      </c>
      <c r="R56" s="18">
        <f>'Formato 6 c)'!D64</f>
        <v>3</v>
      </c>
      <c r="S56" s="18">
        <f>'Formato 6 c)'!E64</f>
        <v>1</v>
      </c>
      <c r="T56" s="18">
        <f>'Formato 6 c)'!F64</f>
        <v>1</v>
      </c>
      <c r="U56" s="18">
        <f>'Formato 6 c)'!G64</f>
        <v>2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1</v>
      </c>
      <c r="Q57" s="18">
        <f>'Formato 6 c)'!C65</f>
        <v>1</v>
      </c>
      <c r="R57" s="18">
        <f>'Formato 6 c)'!D65</f>
        <v>3</v>
      </c>
      <c r="S57" s="18">
        <f>'Formato 6 c)'!E65</f>
        <v>1</v>
      </c>
      <c r="T57" s="18">
        <f>'Formato 6 c)'!F65</f>
        <v>1</v>
      </c>
      <c r="U57" s="18">
        <f>'Formato 6 c)'!G65</f>
        <v>2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1</v>
      </c>
      <c r="Q58" s="18">
        <f>'Formato 6 c)'!C66</f>
        <v>1</v>
      </c>
      <c r="R58" s="18">
        <f>'Formato 6 c)'!D66</f>
        <v>3</v>
      </c>
      <c r="S58" s="18">
        <f>'Formato 6 c)'!E66</f>
        <v>1</v>
      </c>
      <c r="T58" s="18">
        <f>'Formato 6 c)'!F66</f>
        <v>1</v>
      </c>
      <c r="U58" s="18">
        <f>'Formato 6 c)'!G66</f>
        <v>2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1</v>
      </c>
      <c r="Q59" s="18">
        <f>'Formato 6 c)'!C67</f>
        <v>1</v>
      </c>
      <c r="R59" s="18">
        <f>'Formato 6 c)'!D67</f>
        <v>3</v>
      </c>
      <c r="S59" s="18">
        <f>'Formato 6 c)'!E67</f>
        <v>1</v>
      </c>
      <c r="T59" s="18">
        <f>'Formato 6 c)'!F67</f>
        <v>1</v>
      </c>
      <c r="U59" s="18">
        <f>'Formato 6 c)'!G67</f>
        <v>2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1</v>
      </c>
      <c r="Q60" s="18">
        <f>'Formato 6 c)'!C68</f>
        <v>1</v>
      </c>
      <c r="R60" s="18">
        <f>'Formato 6 c)'!D68</f>
        <v>3</v>
      </c>
      <c r="S60" s="18">
        <f>'Formato 6 c)'!E68</f>
        <v>1</v>
      </c>
      <c r="T60" s="18">
        <f>'Formato 6 c)'!F68</f>
        <v>1</v>
      </c>
      <c r="U60" s="18">
        <f>'Formato 6 c)'!G68</f>
        <v>2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1</v>
      </c>
      <c r="Q61" s="18">
        <f>'Formato 6 c)'!C69</f>
        <v>1</v>
      </c>
      <c r="R61" s="18">
        <f>'Formato 6 c)'!D69</f>
        <v>3</v>
      </c>
      <c r="S61" s="18">
        <f>'Formato 6 c)'!E69</f>
        <v>1</v>
      </c>
      <c r="T61" s="18">
        <f>'Formato 6 c)'!F69</f>
        <v>1</v>
      </c>
      <c r="U61" s="18">
        <f>'Formato 6 c)'!G69</f>
        <v>2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1</v>
      </c>
      <c r="Q62" s="18">
        <f>'Formato 6 c)'!C70</f>
        <v>1</v>
      </c>
      <c r="R62" s="18">
        <f>'Formato 6 c)'!D70</f>
        <v>3</v>
      </c>
      <c r="S62" s="18">
        <f>'Formato 6 c)'!E70</f>
        <v>1</v>
      </c>
      <c r="T62" s="18">
        <f>'Formato 6 c)'!F70</f>
        <v>1</v>
      </c>
      <c r="U62" s="18">
        <f>'Formato 6 c)'!G70</f>
        <v>2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4</v>
      </c>
      <c r="Q63" s="18">
        <f>'Formato 6 c)'!C71</f>
        <v>4</v>
      </c>
      <c r="R63" s="18">
        <f>'Formato 6 c)'!D71</f>
        <v>12</v>
      </c>
      <c r="S63" s="18">
        <f>'Formato 6 c)'!E71</f>
        <v>4</v>
      </c>
      <c r="T63" s="18">
        <f>'Formato 6 c)'!F71</f>
        <v>4</v>
      </c>
      <c r="U63" s="18">
        <f>'Formato 6 c)'!G71</f>
        <v>8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1</v>
      </c>
      <c r="Q64" s="18">
        <f>'Formato 6 c)'!C72</f>
        <v>1</v>
      </c>
      <c r="R64" s="18">
        <f>'Formato 6 c)'!D72</f>
        <v>3</v>
      </c>
      <c r="S64" s="18">
        <f>'Formato 6 c)'!E72</f>
        <v>1</v>
      </c>
      <c r="T64" s="18">
        <f>'Formato 6 c)'!F72</f>
        <v>1</v>
      </c>
      <c r="U64" s="18">
        <f>'Formato 6 c)'!G72</f>
        <v>2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1</v>
      </c>
      <c r="Q65" s="18">
        <f>'Formato 6 c)'!C73</f>
        <v>1</v>
      </c>
      <c r="R65" s="18">
        <f>'Formato 6 c)'!D73</f>
        <v>3</v>
      </c>
      <c r="S65" s="18">
        <f>'Formato 6 c)'!E73</f>
        <v>1</v>
      </c>
      <c r="T65" s="18">
        <f>'Formato 6 c)'!F73</f>
        <v>1</v>
      </c>
      <c r="U65" s="18">
        <f>'Formato 6 c)'!G73</f>
        <v>2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1</v>
      </c>
      <c r="Q66" s="18">
        <f>'Formato 6 c)'!C74</f>
        <v>1</v>
      </c>
      <c r="R66" s="18">
        <f>'Formato 6 c)'!D74</f>
        <v>3</v>
      </c>
      <c r="S66" s="18">
        <f>'Formato 6 c)'!E74</f>
        <v>1</v>
      </c>
      <c r="T66" s="18">
        <f>'Formato 6 c)'!F74</f>
        <v>1</v>
      </c>
      <c r="U66" s="18">
        <f>'Formato 6 c)'!G74</f>
        <v>2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1</v>
      </c>
      <c r="Q67" s="18">
        <f>'Formato 6 c)'!C75</f>
        <v>1</v>
      </c>
      <c r="R67" s="18">
        <f>'Formato 6 c)'!D75</f>
        <v>3</v>
      </c>
      <c r="S67" s="18">
        <f>'Formato 6 c)'!E75</f>
        <v>1</v>
      </c>
      <c r="T67" s="18">
        <f>'Formato 6 c)'!F75</f>
        <v>1</v>
      </c>
      <c r="U67" s="18">
        <f>'Formato 6 c)'!G75</f>
        <v>2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56</v>
      </c>
      <c r="Q68" s="18">
        <f>'Formato 6 c)'!C77</f>
        <v>56</v>
      </c>
      <c r="R68" s="18">
        <f>'Formato 6 c)'!D77</f>
        <v>168</v>
      </c>
      <c r="S68" s="18">
        <f>'Formato 6 c)'!E77</f>
        <v>56</v>
      </c>
      <c r="T68" s="18">
        <f>'Formato 6 c)'!F77</f>
        <v>56</v>
      </c>
      <c r="U68" s="18">
        <f>'Formato 6 c)'!G77</f>
        <v>112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MUNICIPAL DE AGUA POTABLE Y ALCANTARILLADO DE CORTAZAR, GTO., Gobierno del Estado de Guanajuato</v>
      </c>
    </row>
    <row r="7" spans="2:3" ht="14.25" x14ac:dyDescent="0.45">
      <c r="C7" t="str">
        <f>CONCATENATE(ENTE_PUBLICO," (a)")</f>
        <v>JUNTA MUNICIPAL DE AGUA POTABLE Y ALCANTARILLADO DE CORTAZAR,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1139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Cortazar, Gobierno del Estado de Guanajuato</v>
      </c>
    </row>
    <row r="12" spans="2:3" x14ac:dyDescent="0.25">
      <c r="B12" t="s">
        <v>794</v>
      </c>
      <c r="C12" s="24">
        <v>2020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1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2020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2020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2020 (m = g – l)</v>
      </c>
    </row>
    <row r="20" spans="4:9" ht="57" x14ac:dyDescent="0.45">
      <c r="D20" s="21" t="str">
        <f>CONCATENATE(ANIO_INFORME, " (d)")</f>
        <v>2020 (d)</v>
      </c>
      <c r="E20" s="22" t="str">
        <f>CONCATENATE("31 de diciembre de ",ANIO_INFORME-1, " (e)")</f>
        <v>31 de diciembre de 2019 (e)</v>
      </c>
      <c r="F20" s="31" t="str">
        <f>CONCATENATE("Saldo al 31 de diciembre de ",ANIO_INFORME-1, " (d)")</f>
        <v>Saldo al 31 de diciembre de 2019 (d)</v>
      </c>
    </row>
    <row r="23" spans="4:9" ht="14.25" x14ac:dyDescent="0.45">
      <c r="D23" s="33">
        <f>ANIO_INFORME + 1</f>
        <v>2021</v>
      </c>
      <c r="E23" s="34" t="str">
        <f>CONCATENATE(ANIO_INFORME + 2, " (d)")</f>
        <v>2022 (d)</v>
      </c>
      <c r="F23" s="34" t="str">
        <f>CONCATENATE(ANIO_INFORME + 3, " (d)")</f>
        <v>2023 (d)</v>
      </c>
      <c r="G23" s="34" t="str">
        <f>CONCATENATE(ANIO_INFORME + 4, " (d)")</f>
        <v>2024 (d)</v>
      </c>
      <c r="H23" s="34" t="str">
        <f>CONCATENATE(ANIO_INFORME + 5, " (d)")</f>
        <v>2025 (d)</v>
      </c>
      <c r="I23" s="34" t="str">
        <f>CONCATENATE(ANIO_INFORME + 6, " (d)")</f>
        <v>2026 (d)</v>
      </c>
    </row>
    <row r="25" spans="4:9" x14ac:dyDescent="0.25">
      <c r="D25" s="35" t="str">
        <f>CONCATENATE(ANIO_INFORME - 5, " ",CHAR(185)," (c)")</f>
        <v>2015 ¹ (c)</v>
      </c>
      <c r="E25" s="35" t="str">
        <f>CONCATENATE(ANIO_INFORME - 4, " ",CHAR(185)," (c)")</f>
        <v>2016 ¹ (c)</v>
      </c>
      <c r="F25" s="35" t="str">
        <f>CONCATENATE(ANIO_INFORME - 3, " ",CHAR(185)," (c)")</f>
        <v>2017 ¹ (c)</v>
      </c>
      <c r="G25" s="35" t="str">
        <f>CONCATENATE(ANIO_INFORME - 2, " ",CHAR(185)," (c)")</f>
        <v>2018 ¹ (c)</v>
      </c>
      <c r="H25" s="35" t="str">
        <f>CONCATENATE(ANIO_INFORME - 1, " ",CHAR(185)," (c)")</f>
        <v>2019 ¹ (c)</v>
      </c>
      <c r="I25" s="33">
        <f>ANIO_INFORME</f>
        <v>2020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ht="14.25" x14ac:dyDescent="0.45">
      <c r="D30" s="139">
        <v>-1.7976931348623099E+100</v>
      </c>
      <c r="E30" s="139">
        <v>1.7976931348623099E+100</v>
      </c>
    </row>
    <row r="32" spans="4:9" ht="14.25" x14ac:dyDescent="0.45">
      <c r="D32" t="s">
        <v>3145</v>
      </c>
      <c r="E32" t="s">
        <v>3146</v>
      </c>
    </row>
    <row r="33" spans="4:5" ht="14.25" x14ac:dyDescent="0.4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4" zoomScale="90" zoomScaleNormal="90" workbookViewId="0">
      <selection activeCell="G32" sqref="G32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3" t="s">
        <v>3287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ENTE_PUBLICO_A</f>
        <v>JUNTA MUNICIPAL DE AGUA POTABLE Y ALCANTARILLADO DE CORTAZAR, GTO., Gobierno del Estado de Guanajuato (a)</v>
      </c>
      <c r="B2" s="155"/>
      <c r="C2" s="155"/>
      <c r="D2" s="155"/>
      <c r="E2" s="155"/>
      <c r="F2" s="155"/>
      <c r="G2" s="156"/>
    </row>
    <row r="3" spans="1:7" x14ac:dyDescent="0.25">
      <c r="A3" s="160" t="s">
        <v>277</v>
      </c>
      <c r="B3" s="161"/>
      <c r="C3" s="161"/>
      <c r="D3" s="161"/>
      <c r="E3" s="161"/>
      <c r="F3" s="161"/>
      <c r="G3" s="162"/>
    </row>
    <row r="4" spans="1:7" x14ac:dyDescent="0.25">
      <c r="A4" s="160" t="s">
        <v>399</v>
      </c>
      <c r="B4" s="161"/>
      <c r="C4" s="161"/>
      <c r="D4" s="161"/>
      <c r="E4" s="161"/>
      <c r="F4" s="161"/>
      <c r="G4" s="162"/>
    </row>
    <row r="5" spans="1:7" ht="14.25" x14ac:dyDescent="0.45">
      <c r="A5" s="160" t="str">
        <f>TRIMESTRE</f>
        <v>Del 1 de enero al 30 de marzo de 2020 (b)</v>
      </c>
      <c r="B5" s="161"/>
      <c r="C5" s="161"/>
      <c r="D5" s="161"/>
      <c r="E5" s="161"/>
      <c r="F5" s="161"/>
      <c r="G5" s="162"/>
    </row>
    <row r="6" spans="1:7" ht="14.25" x14ac:dyDescent="0.45">
      <c r="A6" s="163" t="s">
        <v>118</v>
      </c>
      <c r="B6" s="164"/>
      <c r="C6" s="164"/>
      <c r="D6" s="164"/>
      <c r="E6" s="164"/>
      <c r="F6" s="164"/>
      <c r="G6" s="165"/>
    </row>
    <row r="7" spans="1:7" x14ac:dyDescent="0.25">
      <c r="A7" s="169" t="s">
        <v>361</v>
      </c>
      <c r="B7" s="174" t="s">
        <v>279</v>
      </c>
      <c r="C7" s="174"/>
      <c r="D7" s="174"/>
      <c r="E7" s="174"/>
      <c r="F7" s="174"/>
      <c r="G7" s="174" t="s">
        <v>280</v>
      </c>
    </row>
    <row r="8" spans="1:7" ht="29.25" customHeight="1" x14ac:dyDescent="0.25">
      <c r="A8" s="170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1"/>
    </row>
    <row r="9" spans="1:7" ht="14.25" x14ac:dyDescent="0.45">
      <c r="A9" s="52" t="s">
        <v>400</v>
      </c>
      <c r="B9" s="66">
        <f>SUM(B10,B11,B12,B15,B16,B19)</f>
        <v>25882557</v>
      </c>
      <c r="C9" s="66">
        <f t="shared" ref="C9:F9" si="0">SUM(C10,C11,C12,C15,C16,C19)</f>
        <v>0</v>
      </c>
      <c r="D9" s="66">
        <f t="shared" si="0"/>
        <v>25882557</v>
      </c>
      <c r="E9" s="66">
        <f t="shared" si="0"/>
        <v>5103051.32</v>
      </c>
      <c r="F9" s="66">
        <f t="shared" si="0"/>
        <v>5103051.32</v>
      </c>
      <c r="G9" s="66">
        <f>SUM(G10,G11,G12,G15,G16,G19)</f>
        <v>20779505.68</v>
      </c>
    </row>
    <row r="10" spans="1:7" x14ac:dyDescent="0.25">
      <c r="A10" s="53" t="s">
        <v>401</v>
      </c>
      <c r="B10" s="200">
        <v>25882557</v>
      </c>
      <c r="C10" s="200">
        <v>0</v>
      </c>
      <c r="D10" s="201">
        <f>B10+C10</f>
        <v>25882557</v>
      </c>
      <c r="E10" s="200">
        <v>5103051.32</v>
      </c>
      <c r="F10" s="200">
        <v>5103051.32</v>
      </c>
      <c r="G10" s="67">
        <f>D10-E10</f>
        <v>20779505.68</v>
      </c>
    </row>
    <row r="11" spans="1:7" x14ac:dyDescent="0.25">
      <c r="A11" s="53" t="s">
        <v>402</v>
      </c>
      <c r="B11" s="201"/>
      <c r="C11" s="201"/>
      <c r="D11" s="201">
        <f>B11+C11</f>
        <v>0</v>
      </c>
      <c r="E11" s="201"/>
      <c r="F11" s="201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201"/>
      <c r="C13" s="201"/>
      <c r="D13" s="201">
        <f>B13+C13</f>
        <v>0</v>
      </c>
      <c r="E13" s="201"/>
      <c r="F13" s="201"/>
      <c r="G13" s="67">
        <f>D13-E13</f>
        <v>0</v>
      </c>
    </row>
    <row r="14" spans="1:7" x14ac:dyDescent="0.25">
      <c r="A14" s="63" t="s">
        <v>405</v>
      </c>
      <c r="B14" s="201"/>
      <c r="C14" s="201"/>
      <c r="D14" s="201">
        <f>B14+C14</f>
        <v>0</v>
      </c>
      <c r="E14" s="201"/>
      <c r="F14" s="201"/>
      <c r="G14" s="67">
        <f t="shared" ref="G14:G15" si="2">D14-E14</f>
        <v>0</v>
      </c>
    </row>
    <row r="15" spans="1:7" x14ac:dyDescent="0.25">
      <c r="A15" s="53" t="s">
        <v>406</v>
      </c>
      <c r="B15" s="201">
        <v>0</v>
      </c>
      <c r="C15" s="201">
        <v>0</v>
      </c>
      <c r="D15" s="201">
        <v>0</v>
      </c>
      <c r="E15" s="201">
        <v>0</v>
      </c>
      <c r="F15" s="201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>
        <v>0</v>
      </c>
      <c r="C19" s="67">
        <v>0</v>
      </c>
      <c r="D19" s="67"/>
      <c r="E19" s="67">
        <v>0</v>
      </c>
      <c r="F19" s="67">
        <v>0</v>
      </c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ht="14.25" x14ac:dyDescent="0.4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ht="14.25" x14ac:dyDescent="0.4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ht="14.25" x14ac:dyDescent="0.4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ht="14.25" x14ac:dyDescent="0.4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25882557</v>
      </c>
      <c r="C33" s="66">
        <f t="shared" ref="C33:G33" si="9">C21+C9</f>
        <v>0</v>
      </c>
      <c r="D33" s="66">
        <f t="shared" si="9"/>
        <v>25882557</v>
      </c>
      <c r="E33" s="66">
        <f t="shared" si="9"/>
        <v>5103051.32</v>
      </c>
      <c r="F33" s="66">
        <f t="shared" si="9"/>
        <v>5103051.32</v>
      </c>
      <c r="G33" s="66">
        <f t="shared" si="9"/>
        <v>20779505.68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25882557</v>
      </c>
      <c r="Q2" s="18">
        <f>'Formato 6 d)'!C9</f>
        <v>0</v>
      </c>
      <c r="R2" s="18">
        <f>'Formato 6 d)'!D9</f>
        <v>25882557</v>
      </c>
      <c r="S2" s="18">
        <f>'Formato 6 d)'!E9</f>
        <v>5103051.32</v>
      </c>
      <c r="T2" s="18">
        <f>'Formato 6 d)'!F9</f>
        <v>5103051.32</v>
      </c>
      <c r="U2" s="18">
        <f>'Formato 6 d)'!G9</f>
        <v>20779505.68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25882557</v>
      </c>
      <c r="Q3" s="18">
        <f>'Formato 6 d)'!C10</f>
        <v>0</v>
      </c>
      <c r="R3" s="18">
        <f>'Formato 6 d)'!D10</f>
        <v>25882557</v>
      </c>
      <c r="S3" s="18">
        <f>'Formato 6 d)'!E10</f>
        <v>5103051.32</v>
      </c>
      <c r="T3" s="18">
        <f>'Formato 6 d)'!F10</f>
        <v>5103051.32</v>
      </c>
      <c r="U3" s="18">
        <f>'Formato 6 d)'!G10</f>
        <v>20779505.68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25882557</v>
      </c>
      <c r="Q24" s="18">
        <f>'Formato 6 d)'!C33</f>
        <v>0</v>
      </c>
      <c r="R24" s="18">
        <f>'Formato 6 d)'!D33</f>
        <v>25882557</v>
      </c>
      <c r="S24" s="18">
        <f>'Formato 6 d)'!E33</f>
        <v>5103051.32</v>
      </c>
      <c r="T24" s="18">
        <f>'Formato 6 d)'!F33</f>
        <v>5103051.32</v>
      </c>
      <c r="U24" s="18">
        <f>'Formato 6 d)'!G33</f>
        <v>20779505.68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opLeftCell="A10" zoomScale="85" zoomScaleNormal="85" zoomScalePageLayoutView="90" workbookViewId="0">
      <selection activeCell="F37" sqref="F37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72" t="s">
        <v>413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ENTIDAD</f>
        <v>Municipio de Cortazar, Gobierno del Estado de Guanajuato</v>
      </c>
      <c r="B2" s="155"/>
      <c r="C2" s="155"/>
      <c r="D2" s="155"/>
      <c r="E2" s="155"/>
      <c r="F2" s="155"/>
      <c r="G2" s="156"/>
    </row>
    <row r="3" spans="1:7" ht="14.25" x14ac:dyDescent="0.45">
      <c r="A3" s="157" t="s">
        <v>414</v>
      </c>
      <c r="B3" s="158"/>
      <c r="C3" s="158"/>
      <c r="D3" s="158"/>
      <c r="E3" s="158"/>
      <c r="F3" s="158"/>
      <c r="G3" s="159"/>
    </row>
    <row r="4" spans="1:7" ht="14.25" x14ac:dyDescent="0.45">
      <c r="A4" s="157" t="s">
        <v>118</v>
      </c>
      <c r="B4" s="158"/>
      <c r="C4" s="158"/>
      <c r="D4" s="158"/>
      <c r="E4" s="158"/>
      <c r="F4" s="158"/>
      <c r="G4" s="159"/>
    </row>
    <row r="5" spans="1:7" ht="14.25" x14ac:dyDescent="0.45">
      <c r="A5" s="157" t="s">
        <v>415</v>
      </c>
      <c r="B5" s="158"/>
      <c r="C5" s="158"/>
      <c r="D5" s="158"/>
      <c r="E5" s="158"/>
      <c r="F5" s="158"/>
      <c r="G5" s="159"/>
    </row>
    <row r="6" spans="1:7" x14ac:dyDescent="0.25">
      <c r="A6" s="169" t="s">
        <v>3288</v>
      </c>
      <c r="B6" s="51">
        <f>ANIO1P</f>
        <v>2021</v>
      </c>
      <c r="C6" s="182" t="str">
        <f>ANIO2P</f>
        <v>2022 (d)</v>
      </c>
      <c r="D6" s="182" t="str">
        <f>ANIO3P</f>
        <v>2023 (d)</v>
      </c>
      <c r="E6" s="182" t="str">
        <f>ANIO4P</f>
        <v>2024 (d)</v>
      </c>
      <c r="F6" s="182" t="str">
        <f>ANIO5P</f>
        <v>2025 (d)</v>
      </c>
      <c r="G6" s="182" t="str">
        <f>ANIO6P</f>
        <v>2026 (d)</v>
      </c>
    </row>
    <row r="7" spans="1:7" ht="48" customHeight="1" x14ac:dyDescent="0.25">
      <c r="A7" s="170"/>
      <c r="B7" s="88" t="s">
        <v>3291</v>
      </c>
      <c r="C7" s="183"/>
      <c r="D7" s="183"/>
      <c r="E7" s="183"/>
      <c r="F7" s="183"/>
      <c r="G7" s="183"/>
    </row>
    <row r="8" spans="1:7" x14ac:dyDescent="0.25">
      <c r="A8" s="52" t="s">
        <v>421</v>
      </c>
      <c r="B8" s="59">
        <f>SUM(B9:B20)</f>
        <v>67781951.120000005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ht="15.75" x14ac:dyDescent="0.25">
      <c r="A9" s="53" t="s">
        <v>216</v>
      </c>
      <c r="B9" s="202">
        <v>0</v>
      </c>
      <c r="C9" s="60"/>
      <c r="D9" s="60"/>
      <c r="E9" s="60"/>
      <c r="F9" s="60"/>
      <c r="G9" s="60"/>
    </row>
    <row r="10" spans="1:7" ht="15.75" x14ac:dyDescent="0.25">
      <c r="A10" s="53" t="s">
        <v>217</v>
      </c>
      <c r="B10" s="202">
        <v>0</v>
      </c>
      <c r="C10" s="60"/>
      <c r="D10" s="60"/>
      <c r="E10" s="60"/>
      <c r="F10" s="60"/>
      <c r="G10" s="60"/>
    </row>
    <row r="11" spans="1:7" ht="15.75" x14ac:dyDescent="0.25">
      <c r="A11" s="53" t="s">
        <v>218</v>
      </c>
      <c r="B11" s="202">
        <v>0</v>
      </c>
      <c r="C11" s="60"/>
      <c r="D11" s="60"/>
      <c r="E11" s="60"/>
      <c r="F11" s="60"/>
      <c r="G11" s="60"/>
    </row>
    <row r="12" spans="1:7" ht="15.75" x14ac:dyDescent="0.25">
      <c r="A12" s="53" t="s">
        <v>416</v>
      </c>
      <c r="B12" s="202">
        <v>65986212.240000002</v>
      </c>
      <c r="C12" s="60"/>
      <c r="D12" s="60"/>
      <c r="E12" s="60"/>
      <c r="F12" s="60"/>
      <c r="G12" s="60"/>
    </row>
    <row r="13" spans="1:7" ht="15.75" x14ac:dyDescent="0.25">
      <c r="A13" s="53" t="s">
        <v>220</v>
      </c>
      <c r="B13" s="202">
        <v>136938.88</v>
      </c>
      <c r="C13" s="60"/>
      <c r="D13" s="60"/>
      <c r="E13" s="60"/>
      <c r="F13" s="60"/>
      <c r="G13" s="60"/>
    </row>
    <row r="14" spans="1:7" ht="15.75" x14ac:dyDescent="0.25">
      <c r="A14" s="53" t="s">
        <v>221</v>
      </c>
      <c r="B14" s="202">
        <v>1435200</v>
      </c>
      <c r="C14" s="60"/>
      <c r="D14" s="60"/>
      <c r="E14" s="60"/>
      <c r="F14" s="60"/>
      <c r="G14" s="60"/>
    </row>
    <row r="15" spans="1:7" ht="15.75" x14ac:dyDescent="0.25">
      <c r="A15" s="53" t="s">
        <v>417</v>
      </c>
      <c r="B15" s="202">
        <v>223600</v>
      </c>
      <c r="C15" s="60"/>
      <c r="D15" s="60"/>
      <c r="E15" s="60"/>
      <c r="F15" s="60"/>
      <c r="G15" s="60"/>
    </row>
    <row r="16" spans="1:7" ht="15.75" x14ac:dyDescent="0.25">
      <c r="A16" s="53" t="s">
        <v>418</v>
      </c>
      <c r="B16" s="202">
        <v>0</v>
      </c>
      <c r="C16" s="60"/>
      <c r="D16" s="60"/>
      <c r="E16" s="60"/>
      <c r="F16" s="60"/>
      <c r="G16" s="60"/>
    </row>
    <row r="17" spans="1:7" ht="15.75" x14ac:dyDescent="0.25">
      <c r="A17" s="10" t="s">
        <v>419</v>
      </c>
      <c r="B17" s="202">
        <v>0</v>
      </c>
      <c r="C17" s="60"/>
      <c r="D17" s="60"/>
      <c r="E17" s="60"/>
      <c r="F17" s="60"/>
      <c r="G17" s="60"/>
    </row>
    <row r="18" spans="1:7" ht="15.75" x14ac:dyDescent="0.25">
      <c r="A18" s="53" t="s">
        <v>240</v>
      </c>
      <c r="B18" s="202">
        <v>0</v>
      </c>
      <c r="C18" s="60"/>
      <c r="D18" s="60"/>
      <c r="E18" s="60"/>
      <c r="F18" s="60"/>
      <c r="G18" s="60"/>
    </row>
    <row r="19" spans="1:7" ht="15.75" x14ac:dyDescent="0.25">
      <c r="A19" s="53" t="s">
        <v>241</v>
      </c>
      <c r="B19" s="202">
        <v>0</v>
      </c>
      <c r="C19" s="60"/>
      <c r="D19" s="60"/>
      <c r="E19" s="60"/>
      <c r="F19" s="60"/>
      <c r="G19" s="60"/>
    </row>
    <row r="20" spans="1:7" ht="15.75" x14ac:dyDescent="0.25">
      <c r="A20" s="53" t="s">
        <v>420</v>
      </c>
      <c r="B20" s="202">
        <v>0</v>
      </c>
      <c r="C20" s="60"/>
      <c r="D20" s="60"/>
      <c r="E20" s="60"/>
      <c r="F20" s="60"/>
      <c r="G20" s="60"/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2222812.8000000003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ht="15.75" x14ac:dyDescent="0.25">
      <c r="A23" s="53" t="s">
        <v>423</v>
      </c>
      <c r="B23" s="202">
        <v>0</v>
      </c>
      <c r="C23" s="60"/>
      <c r="D23" s="60"/>
      <c r="E23" s="60"/>
      <c r="F23" s="60"/>
      <c r="G23" s="60"/>
    </row>
    <row r="24" spans="1:7" ht="15.75" x14ac:dyDescent="0.25">
      <c r="A24" s="53" t="s">
        <v>424</v>
      </c>
      <c r="B24" s="202">
        <v>2222812.8000000003</v>
      </c>
      <c r="C24" s="60"/>
      <c r="D24" s="60"/>
      <c r="E24" s="60"/>
      <c r="F24" s="60"/>
      <c r="G24" s="60"/>
    </row>
    <row r="25" spans="1:7" ht="15.75" x14ac:dyDescent="0.25">
      <c r="A25" s="53" t="s">
        <v>425</v>
      </c>
      <c r="B25" s="202">
        <v>0</v>
      </c>
      <c r="C25" s="60"/>
      <c r="D25" s="60"/>
      <c r="E25" s="60"/>
      <c r="F25" s="60"/>
      <c r="G25" s="60"/>
    </row>
    <row r="26" spans="1:7" ht="15.75" x14ac:dyDescent="0.25">
      <c r="A26" s="56" t="s">
        <v>265</v>
      </c>
      <c r="B26" s="202">
        <v>0</v>
      </c>
      <c r="C26" s="60"/>
      <c r="D26" s="60"/>
      <c r="E26" s="60"/>
      <c r="F26" s="60"/>
      <c r="G26" s="60"/>
    </row>
    <row r="27" spans="1:7" ht="15.75" x14ac:dyDescent="0.25">
      <c r="A27" s="53" t="s">
        <v>266</v>
      </c>
      <c r="B27" s="202">
        <v>0</v>
      </c>
      <c r="C27" s="60"/>
      <c r="D27" s="60"/>
      <c r="E27" s="60"/>
      <c r="F27" s="60"/>
      <c r="G27" s="60"/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ht="14.25" x14ac:dyDescent="0.45">
      <c r="A29" s="55" t="s">
        <v>426</v>
      </c>
      <c r="B29" s="61"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ht="14.25" x14ac:dyDescent="0.45">
      <c r="A30" s="53" t="s">
        <v>269</v>
      </c>
      <c r="B30" s="60">
        <v>0</v>
      </c>
      <c r="C30" s="60"/>
      <c r="D30" s="60"/>
      <c r="E30" s="60"/>
      <c r="F30" s="60"/>
      <c r="G30" s="60"/>
    </row>
    <row r="31" spans="1:7" ht="14.25" x14ac:dyDescent="0.45">
      <c r="A31" s="54"/>
      <c r="B31" s="54"/>
      <c r="C31" s="54"/>
      <c r="D31" s="54"/>
      <c r="E31" s="54"/>
      <c r="F31" s="54"/>
      <c r="G31" s="54"/>
    </row>
    <row r="32" spans="1:7" ht="14.25" x14ac:dyDescent="0.45">
      <c r="A32" s="14" t="s">
        <v>427</v>
      </c>
      <c r="B32" s="61">
        <f>B29+B22+B8</f>
        <v>70004763.920000002</v>
      </c>
      <c r="C32" s="61">
        <f t="shared" ref="C32:F32" si="3">C29+C22+C8</f>
        <v>0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ht="14.25" x14ac:dyDescent="0.45">
      <c r="A33" s="54"/>
      <c r="B33" s="54"/>
      <c r="C33" s="54"/>
      <c r="D33" s="54"/>
      <c r="E33" s="54"/>
      <c r="F33" s="54"/>
      <c r="G33" s="54"/>
    </row>
    <row r="34" spans="1:7" ht="14.25" x14ac:dyDescent="0.4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>
        <v>0</v>
      </c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67781951.120000005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65986212.240000002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136938.88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1435200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223600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2222812.8000000003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2222812.8000000003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70004763.920000002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ht="14.25" x14ac:dyDescent="0.45">
      <c r="A28" s="3"/>
      <c r="P28" s="18"/>
      <c r="Q28" s="18"/>
      <c r="R28" s="18"/>
      <c r="S28" s="18"/>
      <c r="T28" s="18"/>
      <c r="U28" s="18"/>
    </row>
    <row r="29" spans="1:21" ht="14.25" x14ac:dyDescent="0.45">
      <c r="A29" s="3"/>
      <c r="P29" s="18"/>
      <c r="Q29" s="18"/>
      <c r="R29" s="18"/>
      <c r="S29" s="18"/>
      <c r="T29" s="18"/>
      <c r="U29" s="18"/>
    </row>
    <row r="30" spans="1:21" ht="14.25" x14ac:dyDescent="0.45">
      <c r="A30" s="3"/>
      <c r="P30" s="18"/>
      <c r="Q30" s="18"/>
      <c r="R30" s="18"/>
      <c r="S30" s="18"/>
      <c r="T30" s="18"/>
      <c r="U30" s="18"/>
    </row>
    <row r="31" spans="1:21" ht="14.25" x14ac:dyDescent="0.45">
      <c r="A31" s="3"/>
      <c r="P31" s="18"/>
      <c r="Q31" s="18"/>
      <c r="R31" s="18"/>
      <c r="S31" s="18"/>
      <c r="T31" s="18"/>
      <c r="U31" s="18"/>
    </row>
    <row r="32" spans="1:21" ht="14.25" x14ac:dyDescent="0.4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topLeftCell="A7" zoomScale="90" zoomScaleNormal="90" workbookViewId="0">
      <selection activeCell="C20" sqref="C20:G28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72" t="s">
        <v>451</v>
      </c>
      <c r="B1" s="172"/>
      <c r="C1" s="172"/>
      <c r="D1" s="172"/>
      <c r="E1" s="172"/>
      <c r="F1" s="172"/>
      <c r="G1" s="172"/>
    </row>
    <row r="2" spans="1:7" customFormat="1" ht="14.25" x14ac:dyDescent="0.45">
      <c r="A2" s="154" t="str">
        <f>ENTIDAD</f>
        <v>Municipio de Cortazar, Gobierno del Estado de Guanajuato</v>
      </c>
      <c r="B2" s="155"/>
      <c r="C2" s="155"/>
      <c r="D2" s="155"/>
      <c r="E2" s="155"/>
      <c r="F2" s="155"/>
      <c r="G2" s="156"/>
    </row>
    <row r="3" spans="1:7" customFormat="1" ht="14.25" x14ac:dyDescent="0.45">
      <c r="A3" s="157" t="s">
        <v>452</v>
      </c>
      <c r="B3" s="158"/>
      <c r="C3" s="158"/>
      <c r="D3" s="158"/>
      <c r="E3" s="158"/>
      <c r="F3" s="158"/>
      <c r="G3" s="159"/>
    </row>
    <row r="4" spans="1:7" customFormat="1" ht="14.25" x14ac:dyDescent="0.45">
      <c r="A4" s="157" t="s">
        <v>118</v>
      </c>
      <c r="B4" s="158"/>
      <c r="C4" s="158"/>
      <c r="D4" s="158"/>
      <c r="E4" s="158"/>
      <c r="F4" s="158"/>
      <c r="G4" s="159"/>
    </row>
    <row r="5" spans="1:7" customFormat="1" ht="14.25" x14ac:dyDescent="0.45">
      <c r="A5" s="157" t="s">
        <v>415</v>
      </c>
      <c r="B5" s="158"/>
      <c r="C5" s="158"/>
      <c r="D5" s="158"/>
      <c r="E5" s="158"/>
      <c r="F5" s="158"/>
      <c r="G5" s="159"/>
    </row>
    <row r="6" spans="1:7" customFormat="1" x14ac:dyDescent="0.25">
      <c r="A6" s="184" t="s">
        <v>3142</v>
      </c>
      <c r="B6" s="51">
        <f>ANIO1P</f>
        <v>2021</v>
      </c>
      <c r="C6" s="182" t="str">
        <f>ANIO2P</f>
        <v>2022 (d)</v>
      </c>
      <c r="D6" s="182" t="str">
        <f>ANIO3P</f>
        <v>2023 (d)</v>
      </c>
      <c r="E6" s="182" t="str">
        <f>ANIO4P</f>
        <v>2024 (d)</v>
      </c>
      <c r="F6" s="182" t="str">
        <f>ANIO5P</f>
        <v>2025 (d)</v>
      </c>
      <c r="G6" s="182" t="str">
        <f>ANIO6P</f>
        <v>2026 (d)</v>
      </c>
    </row>
    <row r="7" spans="1:7" customFormat="1" ht="48" customHeight="1" x14ac:dyDescent="0.25">
      <c r="A7" s="185"/>
      <c r="B7" s="88" t="s">
        <v>3291</v>
      </c>
      <c r="C7" s="183"/>
      <c r="D7" s="183"/>
      <c r="E7" s="183"/>
      <c r="F7" s="183"/>
      <c r="G7" s="183"/>
    </row>
    <row r="8" spans="1:7" x14ac:dyDescent="0.25">
      <c r="A8" s="52" t="s">
        <v>453</v>
      </c>
      <c r="B8" s="59">
        <f>SUM(B9:B17)</f>
        <v>67662163.920000002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ht="15.75" x14ac:dyDescent="0.25">
      <c r="A9" s="53" t="s">
        <v>454</v>
      </c>
      <c r="B9" s="203">
        <v>26917849.920000002</v>
      </c>
      <c r="C9" s="60"/>
      <c r="D9" s="60"/>
      <c r="E9" s="60"/>
      <c r="F9" s="60"/>
      <c r="G9" s="60"/>
    </row>
    <row r="10" spans="1:7" ht="15.75" x14ac:dyDescent="0.25">
      <c r="A10" s="53" t="s">
        <v>455</v>
      </c>
      <c r="B10" s="203">
        <v>8149866.4000000004</v>
      </c>
      <c r="C10" s="60"/>
      <c r="D10" s="60"/>
      <c r="E10" s="60"/>
      <c r="F10" s="60"/>
      <c r="G10" s="60"/>
    </row>
    <row r="11" spans="1:7" ht="15.75" x14ac:dyDescent="0.25">
      <c r="A11" s="53" t="s">
        <v>456</v>
      </c>
      <c r="B11" s="203">
        <v>20001247.760000002</v>
      </c>
      <c r="C11" s="60"/>
      <c r="D11" s="60"/>
      <c r="E11" s="60"/>
      <c r="F11" s="60"/>
      <c r="G11" s="60"/>
    </row>
    <row r="12" spans="1:7" ht="15.75" x14ac:dyDescent="0.25">
      <c r="A12" s="53" t="s">
        <v>457</v>
      </c>
      <c r="B12" s="203">
        <v>10400</v>
      </c>
      <c r="C12" s="60"/>
      <c r="D12" s="60"/>
      <c r="E12" s="60"/>
      <c r="F12" s="60"/>
      <c r="G12" s="60"/>
    </row>
    <row r="13" spans="1:7" ht="15.75" x14ac:dyDescent="0.25">
      <c r="A13" s="53" t="s">
        <v>458</v>
      </c>
      <c r="B13" s="203">
        <v>1219588.24</v>
      </c>
      <c r="C13" s="60"/>
      <c r="D13" s="60"/>
      <c r="E13" s="60"/>
      <c r="F13" s="60"/>
      <c r="G13" s="60"/>
    </row>
    <row r="14" spans="1:7" ht="15.75" x14ac:dyDescent="0.25">
      <c r="A14" s="53" t="s">
        <v>459</v>
      </c>
      <c r="B14" s="203">
        <v>11363211.6</v>
      </c>
      <c r="C14" s="60"/>
      <c r="D14" s="60"/>
      <c r="E14" s="60"/>
      <c r="F14" s="60"/>
      <c r="G14" s="60"/>
    </row>
    <row r="15" spans="1:7" ht="15.75" x14ac:dyDescent="0.25">
      <c r="A15" s="53" t="s">
        <v>460</v>
      </c>
      <c r="B15" s="203">
        <v>0</v>
      </c>
      <c r="C15" s="60"/>
      <c r="D15" s="60"/>
      <c r="E15" s="60"/>
      <c r="F15" s="60"/>
      <c r="G15" s="60"/>
    </row>
    <row r="16" spans="1:7" ht="15.75" x14ac:dyDescent="0.25">
      <c r="A16" s="53" t="s">
        <v>461</v>
      </c>
      <c r="B16" s="203">
        <v>0</v>
      </c>
      <c r="C16" s="60"/>
      <c r="D16" s="60"/>
      <c r="E16" s="60"/>
      <c r="F16" s="60"/>
      <c r="G16" s="60"/>
    </row>
    <row r="17" spans="1:7" ht="15.75" x14ac:dyDescent="0.25">
      <c r="A17" s="53" t="s">
        <v>462</v>
      </c>
      <c r="B17" s="203">
        <v>0</v>
      </c>
      <c r="C17" s="60"/>
      <c r="D17" s="60"/>
      <c r="E17" s="60"/>
      <c r="F17" s="60"/>
      <c r="G17" s="60"/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2342600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/>
      <c r="D20" s="60"/>
      <c r="E20" s="60"/>
      <c r="F20" s="60"/>
      <c r="G20" s="60"/>
    </row>
    <row r="21" spans="1:7" x14ac:dyDescent="0.25">
      <c r="A21" s="53" t="s">
        <v>455</v>
      </c>
      <c r="B21" s="60">
        <v>0</v>
      </c>
      <c r="C21" s="60"/>
      <c r="D21" s="60"/>
      <c r="E21" s="60"/>
      <c r="F21" s="60"/>
      <c r="G21" s="60"/>
    </row>
    <row r="22" spans="1:7" x14ac:dyDescent="0.25">
      <c r="A22" s="53" t="s">
        <v>456</v>
      </c>
      <c r="B22" s="60">
        <v>0</v>
      </c>
      <c r="C22" s="60"/>
      <c r="D22" s="60"/>
      <c r="E22" s="60"/>
      <c r="F22" s="60"/>
      <c r="G22" s="60"/>
    </row>
    <row r="23" spans="1:7" x14ac:dyDescent="0.25">
      <c r="A23" s="53" t="s">
        <v>457</v>
      </c>
      <c r="B23" s="60">
        <v>0</v>
      </c>
      <c r="C23" s="60"/>
      <c r="D23" s="60"/>
      <c r="E23" s="60"/>
      <c r="F23" s="60"/>
      <c r="G23" s="60"/>
    </row>
    <row r="24" spans="1:7" x14ac:dyDescent="0.25">
      <c r="A24" s="53" t="s">
        <v>458</v>
      </c>
      <c r="B24" s="60">
        <v>0</v>
      </c>
      <c r="C24" s="60"/>
      <c r="D24" s="60"/>
      <c r="E24" s="60"/>
      <c r="F24" s="60"/>
      <c r="G24" s="60"/>
    </row>
    <row r="25" spans="1:7" x14ac:dyDescent="0.25">
      <c r="A25" s="53" t="s">
        <v>459</v>
      </c>
      <c r="B25" s="60">
        <v>2342600</v>
      </c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60">
        <v>0</v>
      </c>
      <c r="C27" s="60"/>
      <c r="D27" s="60"/>
      <c r="E27" s="60"/>
      <c r="F27" s="60"/>
      <c r="G27" s="60"/>
    </row>
    <row r="28" spans="1:7" x14ac:dyDescent="0.25">
      <c r="A28" s="53" t="s">
        <v>462</v>
      </c>
      <c r="B28" s="60">
        <v>0</v>
      </c>
      <c r="C28" s="60"/>
      <c r="D28" s="60"/>
      <c r="E28" s="60"/>
      <c r="F28" s="60"/>
      <c r="G28" s="60"/>
    </row>
    <row r="29" spans="1:7" ht="14.25" x14ac:dyDescent="0.4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70004763.920000002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67662163.920000002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26917849.920000002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8149866.4000000004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20001247.760000002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10400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1219588.24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11363211.6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2342600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2342600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70004763.920000002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opLeftCell="A10" zoomScale="90" zoomScaleNormal="90" workbookViewId="0">
      <selection activeCell="A40" sqref="A40:G40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2" t="s">
        <v>466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ENTIDAD</f>
        <v>Municipio de Cortazar, Gobierno del Estado de Guanajuato</v>
      </c>
      <c r="B2" s="155"/>
      <c r="C2" s="155"/>
      <c r="D2" s="155"/>
      <c r="E2" s="155"/>
      <c r="F2" s="155"/>
      <c r="G2" s="156"/>
    </row>
    <row r="3" spans="1:7" ht="14.25" x14ac:dyDescent="0.45">
      <c r="A3" s="157" t="s">
        <v>467</v>
      </c>
      <c r="B3" s="158"/>
      <c r="C3" s="158"/>
      <c r="D3" s="158"/>
      <c r="E3" s="158"/>
      <c r="F3" s="158"/>
      <c r="G3" s="159"/>
    </row>
    <row r="4" spans="1:7" ht="14.25" x14ac:dyDescent="0.45">
      <c r="A4" s="163" t="s">
        <v>118</v>
      </c>
      <c r="B4" s="164"/>
      <c r="C4" s="164"/>
      <c r="D4" s="164"/>
      <c r="E4" s="164"/>
      <c r="F4" s="164"/>
      <c r="G4" s="165"/>
    </row>
    <row r="5" spans="1:7" x14ac:dyDescent="0.25">
      <c r="A5" s="189" t="s">
        <v>3288</v>
      </c>
      <c r="B5" s="187" t="str">
        <f>ANIO5R</f>
        <v>2015 ¹ (c)</v>
      </c>
      <c r="C5" s="187" t="str">
        <f>ANIO4R</f>
        <v>2016 ¹ (c)</v>
      </c>
      <c r="D5" s="187" t="str">
        <f>ANIO3R</f>
        <v>2017 ¹ (c)</v>
      </c>
      <c r="E5" s="187" t="str">
        <f>ANIO2R</f>
        <v>2018 ¹ (c)</v>
      </c>
      <c r="F5" s="187" t="str">
        <f>ANIO1R</f>
        <v>2019 ¹ (c)</v>
      </c>
      <c r="G5" s="51">
        <f>ANIO_INFORME</f>
        <v>2020</v>
      </c>
    </row>
    <row r="6" spans="1:7" ht="32.1" customHeight="1" x14ac:dyDescent="0.25">
      <c r="A6" s="190"/>
      <c r="B6" s="188"/>
      <c r="C6" s="188"/>
      <c r="D6" s="188"/>
      <c r="E6" s="188"/>
      <c r="F6" s="188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65859748</v>
      </c>
      <c r="F7" s="59">
        <f t="shared" si="0"/>
        <v>32506418.870000001</v>
      </c>
      <c r="G7" s="59">
        <f t="shared" si="0"/>
        <v>18101049.449999999</v>
      </c>
    </row>
    <row r="8" spans="1:7" x14ac:dyDescent="0.25">
      <c r="A8" s="53" t="s">
        <v>469</v>
      </c>
      <c r="B8" s="60"/>
      <c r="C8" s="60"/>
      <c r="D8" s="60"/>
      <c r="E8" s="204"/>
      <c r="F8" s="204"/>
      <c r="G8" s="60"/>
    </row>
    <row r="9" spans="1:7" x14ac:dyDescent="0.25">
      <c r="A9" s="53" t="s">
        <v>470</v>
      </c>
      <c r="B9" s="60"/>
      <c r="C9" s="60"/>
      <c r="D9" s="60"/>
      <c r="E9" s="204"/>
      <c r="F9" s="204"/>
      <c r="G9" s="60"/>
    </row>
    <row r="10" spans="1:7" x14ac:dyDescent="0.25">
      <c r="A10" s="53" t="s">
        <v>471</v>
      </c>
      <c r="B10" s="60"/>
      <c r="C10" s="60"/>
      <c r="D10" s="60"/>
      <c r="E10" s="204"/>
      <c r="F10" s="204"/>
      <c r="G10" s="60"/>
    </row>
    <row r="11" spans="1:7" x14ac:dyDescent="0.25">
      <c r="A11" s="53" t="s">
        <v>472</v>
      </c>
      <c r="B11" s="60"/>
      <c r="C11" s="60"/>
      <c r="D11" s="60"/>
      <c r="E11" s="204">
        <v>61328789</v>
      </c>
      <c r="F11" s="204">
        <v>31342882.68</v>
      </c>
      <c r="G11" s="60">
        <v>0</v>
      </c>
    </row>
    <row r="12" spans="1:7" x14ac:dyDescent="0.25">
      <c r="A12" s="53" t="s">
        <v>473</v>
      </c>
      <c r="B12" s="60"/>
      <c r="C12" s="60"/>
      <c r="D12" s="60"/>
      <c r="E12" s="204">
        <v>349799</v>
      </c>
      <c r="F12" s="204">
        <v>99597.59</v>
      </c>
      <c r="G12" s="60">
        <v>94161.919999999998</v>
      </c>
    </row>
    <row r="13" spans="1:7" x14ac:dyDescent="0.25">
      <c r="A13" s="56" t="s">
        <v>474</v>
      </c>
      <c r="B13" s="60"/>
      <c r="C13" s="60"/>
      <c r="D13" s="60"/>
      <c r="E13" s="204">
        <v>1213630</v>
      </c>
      <c r="F13" s="204">
        <v>76786.64</v>
      </c>
      <c r="G13" s="60"/>
    </row>
    <row r="14" spans="1:7" x14ac:dyDescent="0.25">
      <c r="A14" s="53" t="s">
        <v>475</v>
      </c>
      <c r="B14" s="60"/>
      <c r="C14" s="60"/>
      <c r="D14" s="60"/>
      <c r="E14" s="204">
        <v>115522</v>
      </c>
      <c r="F14" s="204"/>
      <c r="G14" s="60">
        <v>16098957.529999999</v>
      </c>
    </row>
    <row r="15" spans="1:7" x14ac:dyDescent="0.25">
      <c r="A15" s="53" t="s">
        <v>476</v>
      </c>
      <c r="B15" s="60"/>
      <c r="C15" s="60"/>
      <c r="D15" s="60"/>
      <c r="E15" s="204">
        <v>0</v>
      </c>
      <c r="F15" s="204">
        <v>987151.96</v>
      </c>
      <c r="G15" s="60">
        <v>1907930</v>
      </c>
    </row>
    <row r="16" spans="1:7" x14ac:dyDescent="0.25">
      <c r="A16" s="53" t="s">
        <v>477</v>
      </c>
      <c r="B16" s="60"/>
      <c r="C16" s="60"/>
      <c r="D16" s="60"/>
      <c r="E16" s="204"/>
      <c r="F16" s="204"/>
      <c r="G16" s="60"/>
    </row>
    <row r="17" spans="1:7" x14ac:dyDescent="0.25">
      <c r="A17" s="53" t="s">
        <v>3298</v>
      </c>
      <c r="B17" s="60"/>
      <c r="C17" s="60"/>
      <c r="D17" s="60"/>
      <c r="E17" s="204"/>
      <c r="F17" s="204"/>
      <c r="G17" s="60"/>
    </row>
    <row r="18" spans="1:7" x14ac:dyDescent="0.25">
      <c r="A18" s="53" t="s">
        <v>478</v>
      </c>
      <c r="B18" s="60"/>
      <c r="C18" s="60"/>
      <c r="D18" s="60"/>
      <c r="E18" s="204"/>
      <c r="F18" s="204"/>
      <c r="G18" s="60"/>
    </row>
    <row r="19" spans="1:7" x14ac:dyDescent="0.25">
      <c r="A19" s="53" t="s">
        <v>479</v>
      </c>
      <c r="B19" s="60"/>
      <c r="C19" s="60"/>
      <c r="D19" s="60"/>
      <c r="E19" s="204">
        <v>2852008</v>
      </c>
      <c r="F19" s="204">
        <v>0</v>
      </c>
      <c r="G19" s="60"/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2878571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204">
        <v>2878571</v>
      </c>
      <c r="F22" s="204">
        <v>0</v>
      </c>
      <c r="G22" s="60"/>
    </row>
    <row r="23" spans="1:7" x14ac:dyDescent="0.25">
      <c r="A23" s="53" t="s">
        <v>481</v>
      </c>
      <c r="B23" s="60"/>
      <c r="C23" s="60"/>
      <c r="D23" s="60"/>
      <c r="E23" s="204"/>
      <c r="F23" s="204"/>
      <c r="G23" s="60"/>
    </row>
    <row r="24" spans="1:7" x14ac:dyDescent="0.25">
      <c r="A24" s="53" t="s">
        <v>482</v>
      </c>
      <c r="B24" s="60"/>
      <c r="C24" s="60"/>
      <c r="D24" s="60"/>
      <c r="E24" s="204"/>
      <c r="F24" s="204"/>
      <c r="G24" s="60"/>
    </row>
    <row r="25" spans="1:7" x14ac:dyDescent="0.25">
      <c r="A25" s="53" t="s">
        <v>483</v>
      </c>
      <c r="B25" s="60"/>
      <c r="C25" s="60"/>
      <c r="D25" s="60"/>
      <c r="E25" s="204"/>
      <c r="F25" s="204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ht="14.25" x14ac:dyDescent="0.45">
      <c r="A29" s="53" t="s">
        <v>269</v>
      </c>
      <c r="B29" s="60"/>
      <c r="C29" s="60"/>
      <c r="D29" s="60"/>
      <c r="E29" s="60"/>
      <c r="F29" s="60"/>
      <c r="G29" s="60"/>
    </row>
    <row r="30" spans="1:7" ht="14.25" x14ac:dyDescent="0.4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68738319</v>
      </c>
      <c r="F31" s="61">
        <f t="shared" si="3"/>
        <v>32506418.870000001</v>
      </c>
      <c r="G31" s="61">
        <f t="shared" si="3"/>
        <v>18101049.449999999</v>
      </c>
    </row>
    <row r="32" spans="1:7" ht="14.25" x14ac:dyDescent="0.45">
      <c r="A32" s="54"/>
      <c r="B32" s="54"/>
      <c r="C32" s="54"/>
      <c r="D32" s="54"/>
      <c r="E32" s="54"/>
      <c r="F32" s="54"/>
      <c r="G32" s="54"/>
    </row>
    <row r="33" spans="1:7" ht="14.25" x14ac:dyDescent="0.4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6" t="s">
        <v>3292</v>
      </c>
      <c r="B39" s="186"/>
      <c r="C39" s="186"/>
      <c r="D39" s="186"/>
      <c r="E39" s="186"/>
      <c r="F39" s="186"/>
      <c r="G39" s="186"/>
    </row>
    <row r="40" spans="1:7" ht="15" customHeight="1" x14ac:dyDescent="0.25">
      <c r="A40" s="186" t="s">
        <v>3293</v>
      </c>
      <c r="B40" s="186"/>
      <c r="C40" s="186"/>
      <c r="D40" s="186"/>
      <c r="E40" s="186"/>
      <c r="F40" s="186"/>
      <c r="G40" s="186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65859748</v>
      </c>
      <c r="T2" s="18">
        <f>'Formato 7 c)'!F7</f>
        <v>32506418.870000001</v>
      </c>
      <c r="U2" s="18">
        <f>'Formato 7 c)'!G7</f>
        <v>18101049.449999999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61328789</v>
      </c>
      <c r="T6" s="18">
        <f>'Formato 7 c)'!F11</f>
        <v>31342882.68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349799</v>
      </c>
      <c r="T7" s="18">
        <f>'Formato 7 c)'!F12</f>
        <v>99597.59</v>
      </c>
      <c r="U7" s="18">
        <f>'Formato 7 c)'!G12</f>
        <v>94161.919999999998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1213630</v>
      </c>
      <c r="T8" s="18">
        <f>'Formato 7 c)'!F13</f>
        <v>76786.64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115522</v>
      </c>
      <c r="T9" s="18">
        <f>'Formato 7 c)'!F14</f>
        <v>0</v>
      </c>
      <c r="U9" s="18">
        <f>'Formato 7 c)'!G14</f>
        <v>16098957.529999999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987151.96</v>
      </c>
      <c r="U10" s="18">
        <f>'Formato 7 c)'!G15</f>
        <v>1907930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2852008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2878571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2878571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68738319</v>
      </c>
      <c r="T23" s="18">
        <f>'Formato 7 c)'!F31</f>
        <v>32506418.870000001</v>
      </c>
      <c r="U23" s="18">
        <f>'Formato 7 c)'!G31</f>
        <v>18101049.449999999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G20" sqref="G2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72" t="s">
        <v>490</v>
      </c>
      <c r="B1" s="172"/>
      <c r="C1" s="172"/>
      <c r="D1" s="172"/>
      <c r="E1" s="172"/>
      <c r="F1" s="172"/>
      <c r="G1" s="172"/>
    </row>
    <row r="2" spans="1:7" ht="14.25" x14ac:dyDescent="0.45">
      <c r="A2" s="154" t="str">
        <f>ENTIDAD</f>
        <v>Municipio de Cortazar, Gobierno del Estado de Guanajuato</v>
      </c>
      <c r="B2" s="155"/>
      <c r="C2" s="155"/>
      <c r="D2" s="155"/>
      <c r="E2" s="155"/>
      <c r="F2" s="155"/>
      <c r="G2" s="156"/>
    </row>
    <row r="3" spans="1:7" ht="14.25" x14ac:dyDescent="0.45">
      <c r="A3" s="157" t="s">
        <v>491</v>
      </c>
      <c r="B3" s="158"/>
      <c r="C3" s="158"/>
      <c r="D3" s="158"/>
      <c r="E3" s="158"/>
      <c r="F3" s="158"/>
      <c r="G3" s="159"/>
    </row>
    <row r="4" spans="1:7" ht="14.25" x14ac:dyDescent="0.45">
      <c r="A4" s="163" t="s">
        <v>118</v>
      </c>
      <c r="B4" s="164"/>
      <c r="C4" s="164"/>
      <c r="D4" s="164"/>
      <c r="E4" s="164"/>
      <c r="F4" s="164"/>
      <c r="G4" s="165"/>
    </row>
    <row r="5" spans="1:7" x14ac:dyDescent="0.25">
      <c r="A5" s="191" t="s">
        <v>3142</v>
      </c>
      <c r="B5" s="187" t="str">
        <f>ANIO5R</f>
        <v>2015 ¹ (c)</v>
      </c>
      <c r="C5" s="187" t="str">
        <f>ANIO4R</f>
        <v>2016 ¹ (c)</v>
      </c>
      <c r="D5" s="187" t="str">
        <f>ANIO3R</f>
        <v>2017 ¹ (c)</v>
      </c>
      <c r="E5" s="187" t="str">
        <f>ANIO2R</f>
        <v>2018 ¹ (c)</v>
      </c>
      <c r="F5" s="187" t="str">
        <f>ANIO1R</f>
        <v>2019 ¹ (c)</v>
      </c>
      <c r="G5" s="51">
        <f>ANIO_INFORME</f>
        <v>2020</v>
      </c>
    </row>
    <row r="6" spans="1:7" ht="32.1" customHeight="1" x14ac:dyDescent="0.25">
      <c r="A6" s="192"/>
      <c r="B6" s="188"/>
      <c r="C6" s="188"/>
      <c r="D6" s="188"/>
      <c r="E6" s="188"/>
      <c r="F6" s="188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65812551</v>
      </c>
      <c r="F7" s="59">
        <f t="shared" si="0"/>
        <v>28436053.699999996</v>
      </c>
      <c r="G7" s="59">
        <f t="shared" si="0"/>
        <v>13957506.100000001</v>
      </c>
    </row>
    <row r="8" spans="1:7" x14ac:dyDescent="0.25">
      <c r="A8" s="53" t="s">
        <v>454</v>
      </c>
      <c r="B8" s="60"/>
      <c r="C8" s="60"/>
      <c r="D8" s="60"/>
      <c r="E8" s="204">
        <v>18273454</v>
      </c>
      <c r="F8" s="204">
        <v>9325696.7200000007</v>
      </c>
      <c r="G8" s="60">
        <v>5103051.32</v>
      </c>
    </row>
    <row r="9" spans="1:7" x14ac:dyDescent="0.25">
      <c r="A9" s="53" t="s">
        <v>455</v>
      </c>
      <c r="B9" s="60"/>
      <c r="C9" s="60"/>
      <c r="D9" s="60"/>
      <c r="E9" s="204">
        <v>6068248</v>
      </c>
      <c r="F9" s="204">
        <v>3487671.75</v>
      </c>
      <c r="G9" s="60">
        <v>1593073.67</v>
      </c>
    </row>
    <row r="10" spans="1:7" x14ac:dyDescent="0.25">
      <c r="A10" s="53" t="s">
        <v>456</v>
      </c>
      <c r="B10" s="60"/>
      <c r="C10" s="60"/>
      <c r="D10" s="60"/>
      <c r="E10" s="204">
        <v>16131871</v>
      </c>
      <c r="F10" s="204">
        <v>8822360.7100000009</v>
      </c>
      <c r="G10" s="60">
        <v>4179995.86</v>
      </c>
    </row>
    <row r="11" spans="1:7" x14ac:dyDescent="0.25">
      <c r="A11" s="53" t="s">
        <v>457</v>
      </c>
      <c r="B11" s="60"/>
      <c r="C11" s="60"/>
      <c r="D11" s="60"/>
      <c r="E11" s="204">
        <v>1587757</v>
      </c>
      <c r="F11" s="204">
        <v>382388.84</v>
      </c>
      <c r="G11" s="60">
        <v>0</v>
      </c>
    </row>
    <row r="12" spans="1:7" x14ac:dyDescent="0.25">
      <c r="A12" s="53" t="s">
        <v>458</v>
      </c>
      <c r="B12" s="60"/>
      <c r="C12" s="60"/>
      <c r="D12" s="60"/>
      <c r="E12" s="204">
        <v>1499294</v>
      </c>
      <c r="F12" s="204">
        <v>444403.83</v>
      </c>
      <c r="G12" s="60">
        <v>287213.88</v>
      </c>
    </row>
    <row r="13" spans="1:7" x14ac:dyDescent="0.25">
      <c r="A13" s="53" t="s">
        <v>459</v>
      </c>
      <c r="B13" s="60"/>
      <c r="C13" s="60"/>
      <c r="D13" s="60"/>
      <c r="E13" s="204">
        <f>25177695-E24</f>
        <v>22251927</v>
      </c>
      <c r="F13" s="204">
        <v>5973531.8499999996</v>
      </c>
      <c r="G13" s="60">
        <v>2794171.37</v>
      </c>
    </row>
    <row r="14" spans="1:7" x14ac:dyDescent="0.25">
      <c r="A14" s="53" t="s">
        <v>460</v>
      </c>
      <c r="B14" s="60"/>
      <c r="C14" s="60"/>
      <c r="D14" s="60"/>
      <c r="E14" s="204"/>
      <c r="F14" s="204">
        <v>0</v>
      </c>
      <c r="G14" s="60">
        <v>0</v>
      </c>
    </row>
    <row r="15" spans="1:7" x14ac:dyDescent="0.25">
      <c r="A15" s="53" t="s">
        <v>461</v>
      </c>
      <c r="B15" s="60"/>
      <c r="C15" s="60"/>
      <c r="D15" s="60"/>
      <c r="E15" s="204"/>
      <c r="F15" s="204">
        <v>0</v>
      </c>
      <c r="G15" s="60">
        <v>0</v>
      </c>
    </row>
    <row r="16" spans="1:7" x14ac:dyDescent="0.25">
      <c r="A16" s="53" t="s">
        <v>462</v>
      </c>
      <c r="B16" s="60"/>
      <c r="C16" s="60"/>
      <c r="D16" s="60"/>
      <c r="E16" s="204"/>
      <c r="F16" s="204">
        <v>0</v>
      </c>
      <c r="G16" s="60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2925768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204"/>
      <c r="F19" s="204">
        <v>0</v>
      </c>
      <c r="G19" s="204">
        <v>0</v>
      </c>
    </row>
    <row r="20" spans="1:7" x14ac:dyDescent="0.25">
      <c r="A20" s="53" t="s">
        <v>455</v>
      </c>
      <c r="B20" s="60"/>
      <c r="C20" s="60"/>
      <c r="D20" s="60"/>
      <c r="E20" s="204"/>
      <c r="F20" s="204">
        <v>0</v>
      </c>
      <c r="G20" s="204">
        <v>0</v>
      </c>
    </row>
    <row r="21" spans="1:7" x14ac:dyDescent="0.25">
      <c r="A21" s="53" t="s">
        <v>456</v>
      </c>
      <c r="B21" s="60"/>
      <c r="C21" s="60"/>
      <c r="D21" s="60"/>
      <c r="E21" s="204"/>
      <c r="F21" s="204">
        <v>0</v>
      </c>
      <c r="G21" s="204">
        <v>0</v>
      </c>
    </row>
    <row r="22" spans="1:7" x14ac:dyDescent="0.25">
      <c r="A22" s="53" t="s">
        <v>457</v>
      </c>
      <c r="B22" s="60"/>
      <c r="C22" s="60"/>
      <c r="D22" s="60"/>
      <c r="E22" s="204"/>
      <c r="F22" s="204">
        <v>0</v>
      </c>
      <c r="G22" s="204">
        <v>0</v>
      </c>
    </row>
    <row r="23" spans="1:7" x14ac:dyDescent="0.25">
      <c r="A23" s="53" t="s">
        <v>458</v>
      </c>
      <c r="B23" s="60"/>
      <c r="C23" s="60"/>
      <c r="D23" s="60"/>
      <c r="E23" s="204"/>
      <c r="F23" s="204">
        <v>0</v>
      </c>
      <c r="G23" s="204">
        <v>0</v>
      </c>
    </row>
    <row r="24" spans="1:7" x14ac:dyDescent="0.25">
      <c r="A24" s="53" t="s">
        <v>459</v>
      </c>
      <c r="B24" s="60"/>
      <c r="C24" s="60"/>
      <c r="D24" s="60"/>
      <c r="E24" s="204">
        <v>2925768</v>
      </c>
      <c r="F24" s="204">
        <v>0</v>
      </c>
      <c r="G24" s="204">
        <v>0</v>
      </c>
    </row>
    <row r="25" spans="1:7" x14ac:dyDescent="0.25">
      <c r="A25" s="53" t="s">
        <v>460</v>
      </c>
      <c r="B25" s="60"/>
      <c r="C25" s="60"/>
      <c r="D25" s="60"/>
      <c r="E25" s="204"/>
      <c r="F25" s="204">
        <v>0</v>
      </c>
      <c r="G25" s="204">
        <v>0</v>
      </c>
    </row>
    <row r="26" spans="1:7" x14ac:dyDescent="0.25">
      <c r="A26" s="53" t="s">
        <v>464</v>
      </c>
      <c r="B26" s="60"/>
      <c r="C26" s="60"/>
      <c r="D26" s="60"/>
      <c r="E26" s="204"/>
      <c r="F26" s="204">
        <v>0</v>
      </c>
      <c r="G26" s="204">
        <v>0</v>
      </c>
    </row>
    <row r="27" spans="1:7" x14ac:dyDescent="0.25">
      <c r="A27" s="53" t="s">
        <v>462</v>
      </c>
      <c r="B27" s="60"/>
      <c r="C27" s="60"/>
      <c r="D27" s="60"/>
      <c r="E27" s="204"/>
      <c r="F27" s="204">
        <v>0</v>
      </c>
      <c r="G27" s="204">
        <v>0</v>
      </c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68738319</v>
      </c>
      <c r="F29" s="60">
        <f t="shared" si="2"/>
        <v>28436053.699999996</v>
      </c>
      <c r="G29" s="60">
        <f t="shared" si="2"/>
        <v>13957506.100000001</v>
      </c>
    </row>
    <row r="30" spans="1:7" ht="14.25" x14ac:dyDescent="0.45">
      <c r="A30" s="58"/>
      <c r="B30" s="58"/>
      <c r="C30" s="58"/>
      <c r="D30" s="58"/>
      <c r="E30" s="58"/>
      <c r="F30" s="58"/>
      <c r="G30" s="58"/>
    </row>
    <row r="31" spans="1:7" ht="14.25" x14ac:dyDescent="0.45">
      <c r="A31" s="90"/>
    </row>
    <row r="32" spans="1:7" ht="14.25" x14ac:dyDescent="0.45">
      <c r="A32" s="186" t="s">
        <v>3292</v>
      </c>
      <c r="B32" s="186"/>
      <c r="C32" s="186"/>
      <c r="D32" s="186"/>
      <c r="E32" s="186"/>
      <c r="F32" s="186"/>
      <c r="G32" s="186"/>
    </row>
    <row r="33" spans="1:7" x14ac:dyDescent="0.25">
      <c r="A33" s="186" t="s">
        <v>3293</v>
      </c>
      <c r="B33" s="186"/>
      <c r="C33" s="186"/>
      <c r="D33" s="186"/>
      <c r="E33" s="186"/>
      <c r="F33" s="186"/>
      <c r="G33" s="186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65812551</v>
      </c>
      <c r="T2" s="18">
        <f>'Formato 7 d)'!F7</f>
        <v>28436053.699999996</v>
      </c>
      <c r="U2" s="18">
        <f>'Formato 7 d)'!G7</f>
        <v>13957506.100000001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18273454</v>
      </c>
      <c r="T3" s="18">
        <f>'Formato 7 d)'!F8</f>
        <v>9325696.7200000007</v>
      </c>
      <c r="U3" s="18">
        <f>'Formato 7 d)'!G8</f>
        <v>5103051.32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6068248</v>
      </c>
      <c r="T4" s="18">
        <f>'Formato 7 d)'!F9</f>
        <v>3487671.75</v>
      </c>
      <c r="U4" s="18">
        <f>'Formato 7 d)'!G9</f>
        <v>1593073.67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16131871</v>
      </c>
      <c r="T5" s="18">
        <f>'Formato 7 d)'!F10</f>
        <v>8822360.7100000009</v>
      </c>
      <c r="U5" s="18">
        <f>'Formato 7 d)'!G10</f>
        <v>4179995.86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1587757</v>
      </c>
      <c r="T6" s="18">
        <f>'Formato 7 d)'!F11</f>
        <v>382388.84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1499294</v>
      </c>
      <c r="T7" s="18">
        <f>'Formato 7 d)'!F12</f>
        <v>444403.83</v>
      </c>
      <c r="U7" s="18">
        <f>'Formato 7 d)'!G12</f>
        <v>287213.88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22251927</v>
      </c>
      <c r="T8" s="18">
        <f>'Formato 7 d)'!F13</f>
        <v>5973531.8499999996</v>
      </c>
      <c r="U8" s="18">
        <f>'Formato 7 d)'!G13</f>
        <v>2794171.37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2925768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2925768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68738319</v>
      </c>
      <c r="T22" s="18">
        <f>'Formato 7 d)'!F29</f>
        <v>28436053.699999996</v>
      </c>
      <c r="U22" s="18">
        <f>'Formato 7 d)'!G29</f>
        <v>13957506.100000001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6" t="s">
        <v>495</v>
      </c>
      <c r="B1" s="166"/>
      <c r="C1" s="166"/>
      <c r="D1" s="166"/>
      <c r="E1" s="166"/>
      <c r="F1" s="166"/>
      <c r="G1" s="111"/>
    </row>
    <row r="2" spans="1:7" ht="14.25" x14ac:dyDescent="0.45">
      <c r="A2" s="154" t="str">
        <f>ENTE_PUBLICO</f>
        <v>JUNTA MUNICIPAL DE AGUA POTABLE Y ALCANTARILLADO DE CORTAZAR, GTO., Gobierno del Estado de Guanajuato</v>
      </c>
      <c r="B2" s="155"/>
      <c r="C2" s="155"/>
      <c r="D2" s="155"/>
      <c r="E2" s="155"/>
      <c r="F2" s="156"/>
    </row>
    <row r="3" spans="1:7" ht="14.25" x14ac:dyDescent="0.45">
      <c r="A3" s="163" t="s">
        <v>496</v>
      </c>
      <c r="B3" s="164"/>
      <c r="C3" s="164"/>
      <c r="D3" s="164"/>
      <c r="E3" s="164"/>
      <c r="F3" s="165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ht="14.25" x14ac:dyDescent="0.4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ht="14.25" x14ac:dyDescent="0.4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ht="14.25" x14ac:dyDescent="0.45">
      <c r="A13" s="138" t="s">
        <v>509</v>
      </c>
      <c r="B13" s="60"/>
      <c r="C13" s="60"/>
      <c r="D13" s="60"/>
      <c r="E13" s="60"/>
      <c r="F13" s="60"/>
    </row>
    <row r="14" spans="1:7" ht="14.25" x14ac:dyDescent="0.4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ht="14.25" x14ac:dyDescent="0.45">
      <c r="A17" s="138" t="s">
        <v>509</v>
      </c>
      <c r="B17" s="60"/>
      <c r="C17" s="60"/>
      <c r="D17" s="60"/>
      <c r="E17" s="60"/>
      <c r="F17" s="60"/>
    </row>
    <row r="18" spans="1:6" ht="14.25" x14ac:dyDescent="0.4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ht="14.25" x14ac:dyDescent="0.45">
      <c r="A22" s="64" t="s">
        <v>515</v>
      </c>
      <c r="B22" s="145"/>
      <c r="C22" s="145"/>
      <c r="D22" s="145"/>
      <c r="E22" s="145"/>
      <c r="F22" s="145"/>
    </row>
    <row r="23" spans="1:6" ht="14.25" x14ac:dyDescent="0.4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ht="14.25" x14ac:dyDescent="0.45">
      <c r="A25" s="136" t="s">
        <v>518</v>
      </c>
      <c r="B25" s="146"/>
      <c r="C25" s="60"/>
      <c r="D25" s="60"/>
      <c r="E25" s="60"/>
      <c r="F25" s="60"/>
    </row>
    <row r="26" spans="1:6" ht="14.25" x14ac:dyDescent="0.45">
      <c r="A26" s="137"/>
      <c r="B26" s="54"/>
      <c r="C26" s="54"/>
      <c r="D26" s="54"/>
      <c r="E26" s="54"/>
      <c r="F26" s="54"/>
    </row>
    <row r="27" spans="1:6" ht="14.25" x14ac:dyDescent="0.45">
      <c r="A27" s="135" t="s">
        <v>519</v>
      </c>
      <c r="B27" s="54"/>
      <c r="C27" s="54"/>
      <c r="D27" s="54"/>
      <c r="E27" s="54"/>
      <c r="F27" s="54"/>
    </row>
    <row r="28" spans="1:6" ht="14.25" x14ac:dyDescent="0.45">
      <c r="A28" s="136" t="s">
        <v>520</v>
      </c>
      <c r="B28" s="60"/>
      <c r="C28" s="60"/>
      <c r="D28" s="60"/>
      <c r="E28" s="60"/>
      <c r="F28" s="60"/>
    </row>
    <row r="29" spans="1:6" ht="14.25" x14ac:dyDescent="0.4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ht="14.25" x14ac:dyDescent="0.45">
      <c r="A31" s="136" t="s">
        <v>506</v>
      </c>
      <c r="B31" s="60"/>
      <c r="C31" s="60"/>
      <c r="D31" s="60"/>
      <c r="E31" s="60"/>
      <c r="F31" s="60"/>
    </row>
    <row r="32" spans="1:6" ht="14.25" x14ac:dyDescent="0.45">
      <c r="A32" s="136" t="s">
        <v>510</v>
      </c>
      <c r="B32" s="60"/>
      <c r="C32" s="60"/>
      <c r="D32" s="60"/>
      <c r="E32" s="60"/>
      <c r="F32" s="60"/>
    </row>
    <row r="33" spans="1:6" ht="14.25" x14ac:dyDescent="0.45">
      <c r="A33" s="136" t="s">
        <v>522</v>
      </c>
      <c r="B33" s="60"/>
      <c r="C33" s="60"/>
      <c r="D33" s="60"/>
      <c r="E33" s="60"/>
      <c r="F33" s="60"/>
    </row>
    <row r="34" spans="1:6" ht="14.25" x14ac:dyDescent="0.4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ht="14.25" x14ac:dyDescent="0.4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ht="14.25" x14ac:dyDescent="0.4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ht="14.25" x14ac:dyDescent="0.4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58" zoomScale="90" zoomScaleNormal="90" workbookViewId="0">
      <selection activeCell="E76" sqref="E76:F7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6" t="s">
        <v>545</v>
      </c>
      <c r="B1" s="166"/>
      <c r="C1" s="166"/>
      <c r="D1" s="166"/>
      <c r="E1" s="166"/>
      <c r="F1" s="166"/>
    </row>
    <row r="2" spans="1:6" ht="14.25" x14ac:dyDescent="0.45">
      <c r="A2" s="154" t="str">
        <f>ENTE_PUBLICO_A</f>
        <v>JUNTA MUNICIPAL DE AGUA POTABLE Y ALCANTARILLADO DE CORTAZAR, GTO., Gobierno del Estado de Guanajuato (a)</v>
      </c>
      <c r="B2" s="155"/>
      <c r="C2" s="155"/>
      <c r="D2" s="155"/>
      <c r="E2" s="155"/>
      <c r="F2" s="156"/>
    </row>
    <row r="3" spans="1:6" x14ac:dyDescent="0.25">
      <c r="A3" s="157" t="s">
        <v>117</v>
      </c>
      <c r="B3" s="158"/>
      <c r="C3" s="158"/>
      <c r="D3" s="158"/>
      <c r="E3" s="158"/>
      <c r="F3" s="159"/>
    </row>
    <row r="4" spans="1:6" ht="14.25" x14ac:dyDescent="0.45">
      <c r="A4" s="160" t="str">
        <f>PERIODO_INFORME</f>
        <v>Al 31 de diciembre de 2019 y al 30 de marzo de 2020 (b)</v>
      </c>
      <c r="B4" s="161"/>
      <c r="C4" s="161"/>
      <c r="D4" s="161"/>
      <c r="E4" s="161"/>
      <c r="F4" s="162"/>
    </row>
    <row r="5" spans="1:6" ht="14.25" x14ac:dyDescent="0.45">
      <c r="A5" s="163" t="s">
        <v>118</v>
      </c>
      <c r="B5" s="164"/>
      <c r="C5" s="164"/>
      <c r="D5" s="164"/>
      <c r="E5" s="164"/>
      <c r="F5" s="165"/>
    </row>
    <row r="6" spans="1:6" s="3" customFormat="1" ht="28.5" x14ac:dyDescent="0.45">
      <c r="A6" s="132" t="s">
        <v>3284</v>
      </c>
      <c r="B6" s="133" t="str">
        <f>ANIO</f>
        <v>2020 (d)</v>
      </c>
      <c r="C6" s="130" t="str">
        <f>ULTIMO</f>
        <v>31 de diciembre de 2019 (e)</v>
      </c>
      <c r="D6" s="134" t="s">
        <v>0</v>
      </c>
      <c r="E6" s="133" t="str">
        <f>ANIO</f>
        <v>2020 (d)</v>
      </c>
      <c r="F6" s="130" t="str">
        <f>ULTIMO</f>
        <v>31 de diciembre de 2019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ht="14.25" x14ac:dyDescent="0.45">
      <c r="A9" s="95" t="s">
        <v>3</v>
      </c>
      <c r="B9" s="60">
        <f>SUM(B10:B16)</f>
        <v>47963955.280000001</v>
      </c>
      <c r="C9" s="60">
        <f>SUM(C10:C16)</f>
        <v>42678646.840000004</v>
      </c>
      <c r="D9" s="100" t="s">
        <v>54</v>
      </c>
      <c r="E9" s="60">
        <f>SUM(E10:E18)</f>
        <v>1085242.1400000001</v>
      </c>
      <c r="F9" s="60">
        <f>SUM(F10:F18)</f>
        <v>507873.74999999994</v>
      </c>
    </row>
    <row r="10" spans="1:6" x14ac:dyDescent="0.25">
      <c r="A10" s="96" t="s">
        <v>4</v>
      </c>
      <c r="B10" s="148">
        <v>10000</v>
      </c>
      <c r="C10" s="148">
        <v>10000</v>
      </c>
      <c r="D10" s="101" t="s">
        <v>55</v>
      </c>
      <c r="E10" s="148">
        <v>898.03</v>
      </c>
      <c r="F10" s="148">
        <v>372647.11</v>
      </c>
    </row>
    <row r="11" spans="1:6" x14ac:dyDescent="0.25">
      <c r="A11" s="96" t="s">
        <v>5</v>
      </c>
      <c r="B11" s="148"/>
      <c r="C11" s="148"/>
      <c r="D11" s="101" t="s">
        <v>56</v>
      </c>
      <c r="E11" s="148">
        <v>384854.97</v>
      </c>
      <c r="F11" s="148">
        <v>264124.34999999998</v>
      </c>
    </row>
    <row r="12" spans="1:6" x14ac:dyDescent="0.25">
      <c r="A12" s="96" t="s">
        <v>6</v>
      </c>
      <c r="B12" s="148">
        <v>40183584.880000003</v>
      </c>
      <c r="C12" s="148">
        <v>34918260.609999999</v>
      </c>
      <c r="D12" s="101" t="s">
        <v>57</v>
      </c>
      <c r="E12" s="148">
        <v>183803.4</v>
      </c>
      <c r="F12" s="148">
        <v>-823487.93</v>
      </c>
    </row>
    <row r="13" spans="1:6" x14ac:dyDescent="0.25">
      <c r="A13" s="96" t="s">
        <v>7</v>
      </c>
      <c r="B13" s="148">
        <v>6175227.5099999998</v>
      </c>
      <c r="C13" s="148">
        <v>6175910.4500000002</v>
      </c>
      <c r="D13" s="101" t="s">
        <v>58</v>
      </c>
      <c r="E13" s="148"/>
      <c r="F13" s="148"/>
    </row>
    <row r="14" spans="1:6" x14ac:dyDescent="0.25">
      <c r="A14" s="96" t="s">
        <v>8</v>
      </c>
      <c r="B14" s="148">
        <v>1389062.29</v>
      </c>
      <c r="C14" s="148">
        <v>1368395.18</v>
      </c>
      <c r="D14" s="101" t="s">
        <v>59</v>
      </c>
      <c r="E14" s="148"/>
      <c r="F14" s="148"/>
    </row>
    <row r="15" spans="1:6" x14ac:dyDescent="0.25">
      <c r="A15" s="96" t="s">
        <v>9</v>
      </c>
      <c r="B15" s="148">
        <v>206080.6</v>
      </c>
      <c r="C15" s="148">
        <v>206080.6</v>
      </c>
      <c r="D15" s="101" t="s">
        <v>60</v>
      </c>
      <c r="E15" s="148"/>
      <c r="F15" s="148"/>
    </row>
    <row r="16" spans="1:6" x14ac:dyDescent="0.25">
      <c r="A16" s="96" t="s">
        <v>10</v>
      </c>
      <c r="B16" s="148"/>
      <c r="C16" s="148"/>
      <c r="D16" s="101" t="s">
        <v>61</v>
      </c>
      <c r="E16" s="148">
        <v>182646.23</v>
      </c>
      <c r="F16" s="148">
        <v>115367.33</v>
      </c>
    </row>
    <row r="17" spans="1:6" x14ac:dyDescent="0.25">
      <c r="A17" s="95" t="s">
        <v>11</v>
      </c>
      <c r="B17" s="60">
        <f>SUM(B18:B24)</f>
        <v>4888101.3400000008</v>
      </c>
      <c r="C17" s="60">
        <f>SUM(C18:C24)</f>
        <v>4868027.8400000008</v>
      </c>
      <c r="D17" s="101" t="s">
        <v>62</v>
      </c>
      <c r="E17" s="148"/>
      <c r="F17" s="148"/>
    </row>
    <row r="18" spans="1:6" x14ac:dyDescent="0.25">
      <c r="A18" s="97" t="s">
        <v>12</v>
      </c>
      <c r="B18" s="148"/>
      <c r="C18" s="148"/>
      <c r="D18" s="101" t="s">
        <v>63</v>
      </c>
      <c r="E18" s="148">
        <v>333039.51</v>
      </c>
      <c r="F18" s="148">
        <v>579222.89</v>
      </c>
    </row>
    <row r="19" spans="1:6" x14ac:dyDescent="0.25">
      <c r="A19" s="97" t="s">
        <v>13</v>
      </c>
      <c r="B19" s="148">
        <v>4867716.68</v>
      </c>
      <c r="C19" s="148">
        <v>4849885.95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148">
        <v>-58.85</v>
      </c>
      <c r="C20" s="148">
        <v>1142.6199999999999</v>
      </c>
      <c r="D20" s="101" t="s">
        <v>65</v>
      </c>
      <c r="E20" s="148">
        <v>0</v>
      </c>
      <c r="F20" s="148">
        <v>0</v>
      </c>
    </row>
    <row r="21" spans="1:6" x14ac:dyDescent="0.25">
      <c r="A21" s="97" t="s">
        <v>15</v>
      </c>
      <c r="B21" s="148">
        <v>-0.68</v>
      </c>
      <c r="C21" s="148">
        <v>-0.68</v>
      </c>
      <c r="D21" s="101" t="s">
        <v>66</v>
      </c>
      <c r="E21" s="148">
        <v>0</v>
      </c>
      <c r="F21" s="148">
        <v>0</v>
      </c>
    </row>
    <row r="22" spans="1:6" x14ac:dyDescent="0.25">
      <c r="A22" s="97" t="s">
        <v>16</v>
      </c>
      <c r="B22" s="148">
        <v>17000</v>
      </c>
      <c r="C22" s="148">
        <v>17000</v>
      </c>
      <c r="D22" s="101" t="s">
        <v>67</v>
      </c>
      <c r="E22" s="148">
        <v>0</v>
      </c>
      <c r="F22" s="148">
        <v>0</v>
      </c>
    </row>
    <row r="23" spans="1:6" x14ac:dyDescent="0.25">
      <c r="A23" s="97" t="s">
        <v>17</v>
      </c>
      <c r="B23" s="148"/>
      <c r="C23" s="148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48">
        <v>3444.19</v>
      </c>
      <c r="C24" s="148">
        <v>-0.05</v>
      </c>
      <c r="D24" s="101" t="s">
        <v>69</v>
      </c>
      <c r="E24" s="148">
        <v>0</v>
      </c>
      <c r="F24" s="148">
        <v>0</v>
      </c>
    </row>
    <row r="25" spans="1:6" x14ac:dyDescent="0.25">
      <c r="A25" s="95" t="s">
        <v>19</v>
      </c>
      <c r="B25" s="60">
        <f>SUM(B26:B30)</f>
        <v>0.18</v>
      </c>
      <c r="C25" s="60">
        <f>SUM(C26:C30)</f>
        <v>543938.87</v>
      </c>
      <c r="D25" s="101" t="s">
        <v>70</v>
      </c>
      <c r="E25" s="148">
        <v>0</v>
      </c>
      <c r="F25" s="148">
        <v>0</v>
      </c>
    </row>
    <row r="26" spans="1:6" x14ac:dyDescent="0.25">
      <c r="A26" s="97" t="s">
        <v>20</v>
      </c>
      <c r="B26" s="148">
        <v>0.18</v>
      </c>
      <c r="C26" s="148">
        <v>0.18</v>
      </c>
      <c r="D26" s="100" t="s">
        <v>71</v>
      </c>
      <c r="E26" s="148">
        <v>0</v>
      </c>
      <c r="F26" s="148">
        <v>0</v>
      </c>
    </row>
    <row r="27" spans="1:6" x14ac:dyDescent="0.25">
      <c r="A27" s="97" t="s">
        <v>21</v>
      </c>
      <c r="B27" s="148"/>
      <c r="C27" s="148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148">
        <v>0</v>
      </c>
      <c r="C28" s="148">
        <v>1183.2</v>
      </c>
      <c r="D28" s="101" t="s">
        <v>73</v>
      </c>
      <c r="E28" s="148">
        <v>0</v>
      </c>
      <c r="F28" s="148">
        <v>0</v>
      </c>
    </row>
    <row r="29" spans="1:6" x14ac:dyDescent="0.25">
      <c r="A29" s="97" t="s">
        <v>23</v>
      </c>
      <c r="B29" s="148">
        <v>0</v>
      </c>
      <c r="C29" s="148">
        <v>542755.49</v>
      </c>
      <c r="D29" s="101" t="s">
        <v>74</v>
      </c>
      <c r="E29" s="148">
        <v>0</v>
      </c>
      <c r="F29" s="148">
        <v>0</v>
      </c>
    </row>
    <row r="30" spans="1:6" x14ac:dyDescent="0.25">
      <c r="A30" s="97" t="s">
        <v>24</v>
      </c>
      <c r="B30" s="148"/>
      <c r="C30" s="148"/>
      <c r="D30" s="101" t="s">
        <v>75</v>
      </c>
      <c r="E30" s="148">
        <v>0</v>
      </c>
      <c r="F30" s="148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206080.6</v>
      </c>
      <c r="F31" s="60">
        <f>SUM(F32:F37)</f>
        <v>206080.6</v>
      </c>
    </row>
    <row r="32" spans="1:6" x14ac:dyDescent="0.25">
      <c r="A32" s="97" t="s">
        <v>26</v>
      </c>
      <c r="B32" s="148">
        <v>0</v>
      </c>
      <c r="C32" s="148">
        <v>0</v>
      </c>
      <c r="D32" s="101" t="s">
        <v>77</v>
      </c>
      <c r="E32" s="148">
        <v>206080.6</v>
      </c>
      <c r="F32" s="148">
        <v>206080.6</v>
      </c>
    </row>
    <row r="33" spans="1:6" x14ac:dyDescent="0.25">
      <c r="A33" s="97" t="s">
        <v>27</v>
      </c>
      <c r="B33" s="148"/>
      <c r="C33" s="148"/>
      <c r="D33" s="101" t="s">
        <v>78</v>
      </c>
      <c r="E33" s="148"/>
      <c r="F33" s="148"/>
    </row>
    <row r="34" spans="1:6" x14ac:dyDescent="0.25">
      <c r="A34" s="97" t="s">
        <v>28</v>
      </c>
      <c r="B34" s="148"/>
      <c r="C34" s="148"/>
      <c r="D34" s="101" t="s">
        <v>79</v>
      </c>
      <c r="E34" s="148"/>
      <c r="F34" s="148"/>
    </row>
    <row r="35" spans="1:6" x14ac:dyDescent="0.25">
      <c r="A35" s="97" t="s">
        <v>29</v>
      </c>
      <c r="B35" s="148"/>
      <c r="C35" s="148"/>
      <c r="D35" s="101" t="s">
        <v>80</v>
      </c>
      <c r="E35" s="148"/>
      <c r="F35" s="148"/>
    </row>
    <row r="36" spans="1:6" x14ac:dyDescent="0.25">
      <c r="A36" s="97" t="s">
        <v>30</v>
      </c>
      <c r="B36" s="148"/>
      <c r="C36" s="148"/>
      <c r="D36" s="101" t="s">
        <v>81</v>
      </c>
      <c r="E36" s="148"/>
      <c r="F36" s="148"/>
    </row>
    <row r="37" spans="1:6" x14ac:dyDescent="0.25">
      <c r="A37" s="95" t="s">
        <v>31</v>
      </c>
      <c r="B37" s="148">
        <v>1040892.4</v>
      </c>
      <c r="C37" s="148">
        <v>986148.06</v>
      </c>
      <c r="D37" s="101" t="s">
        <v>82</v>
      </c>
      <c r="E37" s="148"/>
      <c r="F37" s="148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48">
        <v>0</v>
      </c>
      <c r="C39" s="148">
        <v>0</v>
      </c>
      <c r="D39" s="101" t="s">
        <v>84</v>
      </c>
      <c r="E39" s="148">
        <v>0</v>
      </c>
      <c r="F39" s="148">
        <v>0</v>
      </c>
    </row>
    <row r="40" spans="1:6" x14ac:dyDescent="0.25">
      <c r="A40" s="97" t="s">
        <v>33</v>
      </c>
      <c r="B40" s="148">
        <v>0</v>
      </c>
      <c r="C40" s="148">
        <v>0</v>
      </c>
      <c r="D40" s="101" t="s">
        <v>85</v>
      </c>
      <c r="E40" s="148">
        <v>0</v>
      </c>
      <c r="F40" s="148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148">
        <v>0</v>
      </c>
      <c r="F41" s="148">
        <v>0</v>
      </c>
    </row>
    <row r="42" spans="1:6" x14ac:dyDescent="0.25">
      <c r="A42" s="97" t="s">
        <v>35</v>
      </c>
      <c r="B42" s="148"/>
      <c r="C42" s="148"/>
      <c r="D42" s="100" t="s">
        <v>87</v>
      </c>
      <c r="E42" s="60">
        <f>SUM(E43:E45)</f>
        <v>-0.68</v>
      </c>
      <c r="F42" s="60">
        <f>SUM(F43:F45)</f>
        <v>-0.68</v>
      </c>
    </row>
    <row r="43" spans="1:6" x14ac:dyDescent="0.25">
      <c r="A43" s="97" t="s">
        <v>36</v>
      </c>
      <c r="B43" s="148"/>
      <c r="C43" s="148"/>
      <c r="D43" s="101" t="s">
        <v>88</v>
      </c>
      <c r="E43" s="148">
        <v>-0.68</v>
      </c>
      <c r="F43" s="148">
        <v>-0.68</v>
      </c>
    </row>
    <row r="44" spans="1:6" x14ac:dyDescent="0.25">
      <c r="A44" s="97" t="s">
        <v>37</v>
      </c>
      <c r="B44" s="148"/>
      <c r="C44" s="148"/>
      <c r="D44" s="101" t="s">
        <v>89</v>
      </c>
      <c r="E44" s="148">
        <v>0</v>
      </c>
      <c r="F44" s="148">
        <v>0</v>
      </c>
    </row>
    <row r="45" spans="1:6" x14ac:dyDescent="0.25">
      <c r="A45" s="97" t="s">
        <v>38</v>
      </c>
      <c r="B45" s="148"/>
      <c r="C45" s="148"/>
      <c r="D45" s="101" t="s">
        <v>90</v>
      </c>
      <c r="E45" s="148">
        <v>0</v>
      </c>
      <c r="F45" s="148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9">
        <f>B9+B17+B25+B31+B38+B41+B37</f>
        <v>53892949.200000003</v>
      </c>
      <c r="C47" s="149">
        <f>C9+C17+C25+C31+C38+C41+C37</f>
        <v>49076761.610000007</v>
      </c>
      <c r="D47" s="99" t="s">
        <v>91</v>
      </c>
      <c r="E47" s="61">
        <f>E9+E19+E23+E26+E27+E31+E38+E42</f>
        <v>1291322.0600000003</v>
      </c>
      <c r="F47" s="61">
        <f>F9+F19+F23+F26+F27+F31+F38+F42</f>
        <v>713953.66999999993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48">
        <v>0</v>
      </c>
      <c r="C50" s="148">
        <v>0</v>
      </c>
      <c r="D50" s="100" t="s">
        <v>93</v>
      </c>
      <c r="E50" s="148">
        <v>0</v>
      </c>
      <c r="F50" s="148">
        <v>0</v>
      </c>
    </row>
    <row r="51" spans="1:6" x14ac:dyDescent="0.25">
      <c r="A51" s="95" t="s">
        <v>42</v>
      </c>
      <c r="B51" s="148">
        <v>0</v>
      </c>
      <c r="C51" s="148">
        <v>0</v>
      </c>
      <c r="D51" s="100" t="s">
        <v>94</v>
      </c>
      <c r="E51" s="148">
        <v>0</v>
      </c>
      <c r="F51" s="148">
        <v>0</v>
      </c>
    </row>
    <row r="52" spans="1:6" x14ac:dyDescent="0.25">
      <c r="A52" s="95" t="s">
        <v>43</v>
      </c>
      <c r="B52" s="148">
        <v>110944723.7</v>
      </c>
      <c r="C52" s="148">
        <v>108827014.76000001</v>
      </c>
      <c r="D52" s="100" t="s">
        <v>95</v>
      </c>
      <c r="E52" s="148">
        <v>0</v>
      </c>
      <c r="F52" s="148">
        <v>0</v>
      </c>
    </row>
    <row r="53" spans="1:6" x14ac:dyDescent="0.25">
      <c r="A53" s="95" t="s">
        <v>44</v>
      </c>
      <c r="B53" s="148">
        <v>16611963.98</v>
      </c>
      <c r="C53" s="148">
        <v>16411530.59</v>
      </c>
      <c r="D53" s="100" t="s">
        <v>96</v>
      </c>
      <c r="E53" s="148">
        <v>0</v>
      </c>
      <c r="F53" s="148">
        <v>0</v>
      </c>
    </row>
    <row r="54" spans="1:6" x14ac:dyDescent="0.25">
      <c r="A54" s="95" t="s">
        <v>45</v>
      </c>
      <c r="B54" s="148">
        <v>8308371.4500000002</v>
      </c>
      <c r="C54" s="148">
        <v>8308371.4500000002</v>
      </c>
      <c r="D54" s="100" t="s">
        <v>97</v>
      </c>
      <c r="E54" s="148">
        <v>0</v>
      </c>
      <c r="F54" s="148">
        <v>0</v>
      </c>
    </row>
    <row r="55" spans="1:6" x14ac:dyDescent="0.25">
      <c r="A55" s="95" t="s">
        <v>46</v>
      </c>
      <c r="B55" s="148">
        <v>-44813199.759999998</v>
      </c>
      <c r="C55" s="148">
        <v>-44824951.369999997</v>
      </c>
      <c r="D55" s="37" t="s">
        <v>98</v>
      </c>
      <c r="E55" s="148">
        <v>0</v>
      </c>
      <c r="F55" s="148">
        <v>0</v>
      </c>
    </row>
    <row r="56" spans="1:6" x14ac:dyDescent="0.25">
      <c r="A56" s="95" t="s">
        <v>47</v>
      </c>
      <c r="B56" s="148">
        <v>3623230.94</v>
      </c>
      <c r="C56" s="148">
        <v>3042044.36</v>
      </c>
      <c r="D56" s="54"/>
      <c r="E56" s="54"/>
      <c r="F56" s="54"/>
    </row>
    <row r="57" spans="1:6" x14ac:dyDescent="0.25">
      <c r="A57" s="95" t="s">
        <v>48</v>
      </c>
      <c r="B57" s="148">
        <v>0</v>
      </c>
      <c r="C57" s="148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148">
        <v>0</v>
      </c>
      <c r="C58" s="148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1291322.0600000003</v>
      </c>
      <c r="F59" s="61">
        <f>F47+F57</f>
        <v>713953.66999999993</v>
      </c>
    </row>
    <row r="60" spans="1:6" x14ac:dyDescent="0.25">
      <c r="A60" s="55" t="s">
        <v>50</v>
      </c>
      <c r="B60" s="61">
        <f>SUM(B50:B58)</f>
        <v>94675090.310000002</v>
      </c>
      <c r="C60" s="61">
        <f>SUM(C50:C58)</f>
        <v>91764009.790000007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148568039.50999999</v>
      </c>
      <c r="C62" s="61">
        <f>SUM(C47+C60)</f>
        <v>140840771.40000001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71428754.25</v>
      </c>
      <c r="F63" s="77">
        <f>SUM(F64:F66)</f>
        <v>71428754.25</v>
      </c>
    </row>
    <row r="64" spans="1:6" x14ac:dyDescent="0.25">
      <c r="A64" s="54"/>
      <c r="B64" s="54"/>
      <c r="C64" s="54"/>
      <c r="D64" s="103" t="s">
        <v>103</v>
      </c>
      <c r="E64" s="148">
        <v>71428754.25</v>
      </c>
      <c r="F64" s="148">
        <v>71428754.25</v>
      </c>
    </row>
    <row r="65" spans="1:6" x14ac:dyDescent="0.25">
      <c r="A65" s="54"/>
      <c r="B65" s="54"/>
      <c r="C65" s="54"/>
      <c r="D65" s="41" t="s">
        <v>104</v>
      </c>
      <c r="E65" s="148">
        <v>0</v>
      </c>
      <c r="F65" s="148">
        <v>0</v>
      </c>
    </row>
    <row r="66" spans="1:6" x14ac:dyDescent="0.25">
      <c r="A66" s="54"/>
      <c r="B66" s="54"/>
      <c r="C66" s="54"/>
      <c r="D66" s="103" t="s">
        <v>105</v>
      </c>
      <c r="E66" s="148">
        <v>0</v>
      </c>
      <c r="F66" s="148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75847963.200000003</v>
      </c>
      <c r="F68" s="77">
        <f>SUM(F69:F73)</f>
        <v>68698063.480000004</v>
      </c>
    </row>
    <row r="69" spans="1:6" x14ac:dyDescent="0.25">
      <c r="A69" s="12"/>
      <c r="B69" s="54"/>
      <c r="C69" s="54"/>
      <c r="D69" s="103" t="s">
        <v>107</v>
      </c>
      <c r="E69" s="148">
        <v>7149899.7199999997</v>
      </c>
      <c r="F69" s="148">
        <v>8692293.7699999996</v>
      </c>
    </row>
    <row r="70" spans="1:6" x14ac:dyDescent="0.25">
      <c r="A70" s="12"/>
      <c r="B70" s="54"/>
      <c r="C70" s="54"/>
      <c r="D70" s="103" t="s">
        <v>108</v>
      </c>
      <c r="E70" s="148">
        <v>68698063.480000004</v>
      </c>
      <c r="F70" s="148">
        <v>60005769.710000001</v>
      </c>
    </row>
    <row r="71" spans="1:6" x14ac:dyDescent="0.25">
      <c r="A71" s="12"/>
      <c r="B71" s="54"/>
      <c r="C71" s="54"/>
      <c r="D71" s="103" t="s">
        <v>109</v>
      </c>
      <c r="E71" s="148">
        <v>0</v>
      </c>
      <c r="F71" s="148">
        <v>0</v>
      </c>
    </row>
    <row r="72" spans="1:6" x14ac:dyDescent="0.25">
      <c r="A72" s="12"/>
      <c r="B72" s="54"/>
      <c r="C72" s="54"/>
      <c r="D72" s="103" t="s">
        <v>110</v>
      </c>
      <c r="E72" s="148">
        <v>0</v>
      </c>
      <c r="F72" s="148">
        <v>0</v>
      </c>
    </row>
    <row r="73" spans="1:6" x14ac:dyDescent="0.25">
      <c r="A73" s="12"/>
      <c r="B73" s="54"/>
      <c r="C73" s="54"/>
      <c r="D73" s="103" t="s">
        <v>111</v>
      </c>
      <c r="E73" s="148">
        <v>0</v>
      </c>
      <c r="F73" s="148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148">
        <v>0</v>
      </c>
      <c r="F76" s="148">
        <v>0</v>
      </c>
    </row>
    <row r="77" spans="1:6" x14ac:dyDescent="0.25">
      <c r="A77" s="12"/>
      <c r="B77" s="54"/>
      <c r="C77" s="54"/>
      <c r="D77" s="100" t="s">
        <v>114</v>
      </c>
      <c r="E77" s="148">
        <v>0</v>
      </c>
      <c r="F77" s="148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147276717.44999999</v>
      </c>
      <c r="F79" s="61">
        <f>F63+F68+F75</f>
        <v>140126817.73000002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148568039.50999999</v>
      </c>
      <c r="F81" s="61">
        <f>F59+F79</f>
        <v>140840771.40000001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47963955.280000001</v>
      </c>
      <c r="Q4" s="18">
        <f>'Formato 1'!C9</f>
        <v>42678646.840000004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10000</v>
      </c>
      <c r="Q5" s="18">
        <f>'Formato 1'!C10</f>
        <v>10000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40183584.880000003</v>
      </c>
      <c r="Q7" s="18">
        <f>'Formato 1'!C12</f>
        <v>34918260.609999999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6175227.5099999998</v>
      </c>
      <c r="Q8" s="18">
        <f>'Formato 1'!C13</f>
        <v>6175910.4500000002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1389062.29</v>
      </c>
      <c r="Q9" s="18">
        <f>'Formato 1'!C14</f>
        <v>1368395.18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206080.6</v>
      </c>
      <c r="Q10" s="18">
        <f>'Formato 1'!C15</f>
        <v>206080.6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4888101.3400000008</v>
      </c>
      <c r="Q12" s="18">
        <f>'Formato 1'!C17</f>
        <v>4868027.8400000008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4867716.68</v>
      </c>
      <c r="Q14" s="18">
        <f>'Formato 1'!C19</f>
        <v>4849885.95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-58.85</v>
      </c>
      <c r="Q15" s="18">
        <f>'Formato 1'!C20</f>
        <v>1142.6199999999999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-0.68</v>
      </c>
      <c r="Q16" s="18">
        <f>'Formato 1'!C21</f>
        <v>-0.68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17000</v>
      </c>
      <c r="Q17" s="18">
        <f>'Formato 1'!C22</f>
        <v>17000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3444.19</v>
      </c>
      <c r="Q19" s="18">
        <f>'Formato 1'!C24</f>
        <v>-0.05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0.18</v>
      </c>
      <c r="Q20" s="18">
        <f>'Formato 1'!C25</f>
        <v>543938.87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0.18</v>
      </c>
      <c r="Q21" s="18">
        <f>'Formato 1'!C26</f>
        <v>0.18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1183.2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542755.49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1040892.4</v>
      </c>
      <c r="Q32" s="18">
        <f>'Formato 1'!C37</f>
        <v>986148.06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1040892.4</v>
      </c>
      <c r="Q33" s="18">
        <f>'Formato 1'!C37</f>
        <v>986148.06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53892949.200000003</v>
      </c>
      <c r="Q42" s="18">
        <f>'Formato 1'!C47</f>
        <v>49076761.610000007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110944723.7</v>
      </c>
      <c r="Q46">
        <f>'Formato 1'!C52</f>
        <v>108827014.76000001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16611963.98</v>
      </c>
      <c r="Q47">
        <f>'Formato 1'!C53</f>
        <v>16411530.59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8308371.4500000002</v>
      </c>
      <c r="Q48">
        <f>'Formato 1'!C54</f>
        <v>8308371.4500000002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-44813199.759999998</v>
      </c>
      <c r="Q49">
        <f>'Formato 1'!C55</f>
        <v>-44824951.369999997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3623230.94</v>
      </c>
      <c r="Q50">
        <f>'Formato 1'!C56</f>
        <v>3042044.36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94675090.310000002</v>
      </c>
      <c r="Q53">
        <f>'Formato 1'!C60</f>
        <v>91764009.790000007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148568039.50999999</v>
      </c>
      <c r="Q54">
        <f>'Formato 1'!C62</f>
        <v>140840771.40000001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1085242.1400000001</v>
      </c>
      <c r="Q57">
        <f>'Formato 1'!F9</f>
        <v>507873.74999999994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898.03</v>
      </c>
      <c r="Q58">
        <f>'Formato 1'!F10</f>
        <v>372647.11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384854.97</v>
      </c>
      <c r="Q59">
        <f>'Formato 1'!F11</f>
        <v>264124.34999999998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183803.4</v>
      </c>
      <c r="Q60">
        <f>'Formato 1'!F12</f>
        <v>-823487.93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182646.23</v>
      </c>
      <c r="Q64">
        <f>'Formato 1'!F16</f>
        <v>115367.33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333039.51</v>
      </c>
      <c r="Q66">
        <f>'Formato 1'!F18</f>
        <v>579222.89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206080.6</v>
      </c>
      <c r="Q80">
        <f>'Formato 1'!F31</f>
        <v>206080.6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206080.6</v>
      </c>
      <c r="Q81">
        <f>'Formato 1'!F32</f>
        <v>206080.6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-0.68</v>
      </c>
      <c r="Q91">
        <f>'Formato 1'!F42</f>
        <v>-0.68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-0.68</v>
      </c>
      <c r="Q92">
        <f>'Formato 1'!F43</f>
        <v>-0.68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1291322.0600000003</v>
      </c>
      <c r="Q95">
        <f>'Formato 1'!F47</f>
        <v>713953.66999999993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1291322.0600000003</v>
      </c>
      <c r="Q104">
        <f>'Formato 1'!F59</f>
        <v>713953.66999999993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71428754.25</v>
      </c>
      <c r="Q106">
        <f>'Formato 1'!F63</f>
        <v>71428754.25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71428754.25</v>
      </c>
      <c r="Q107">
        <f>'Formato 1'!F64</f>
        <v>71428754.25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75847963.200000003</v>
      </c>
      <c r="Q110">
        <f>'Formato 1'!F68</f>
        <v>68698063.480000004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7149899.7199999997</v>
      </c>
      <c r="Q111">
        <f>'Formato 1'!F69</f>
        <v>8692293.7699999996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68698063.480000004</v>
      </c>
      <c r="Q112">
        <f>'Formato 1'!F70</f>
        <v>60005769.710000001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147276717.44999999</v>
      </c>
      <c r="Q119">
        <f>'Formato 1'!F79</f>
        <v>140126817.73000002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148568039.50999999</v>
      </c>
      <c r="Q120">
        <f>'Formato 1'!F81</f>
        <v>140840771.40000001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90" zoomScaleNormal="90" workbookViewId="0">
      <selection activeCell="B41" sqref="B4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8" t="s">
        <v>544</v>
      </c>
      <c r="B1" s="168"/>
      <c r="C1" s="168"/>
      <c r="D1" s="168"/>
      <c r="E1" s="168"/>
      <c r="F1" s="168"/>
      <c r="G1" s="168"/>
      <c r="H1" s="168"/>
    </row>
    <row r="2" spans="1:9" ht="14.25" x14ac:dyDescent="0.45">
      <c r="A2" s="154" t="str">
        <f>ENTE_PUBLICO_A</f>
        <v>JUNTA MUNICIPAL DE AGUA POTABLE Y ALCANTARILLADO DE CORTAZAR, GTO., Gobierno del Estado de Guanajuato (a)</v>
      </c>
      <c r="B2" s="155"/>
      <c r="C2" s="155"/>
      <c r="D2" s="155"/>
      <c r="E2" s="155"/>
      <c r="F2" s="155"/>
      <c r="G2" s="155"/>
      <c r="H2" s="156"/>
    </row>
    <row r="3" spans="1:9" x14ac:dyDescent="0.25">
      <c r="A3" s="157" t="s">
        <v>120</v>
      </c>
      <c r="B3" s="158"/>
      <c r="C3" s="158"/>
      <c r="D3" s="158"/>
      <c r="E3" s="158"/>
      <c r="F3" s="158"/>
      <c r="G3" s="158"/>
      <c r="H3" s="159"/>
    </row>
    <row r="4" spans="1:9" ht="14.25" x14ac:dyDescent="0.45">
      <c r="A4" s="160" t="str">
        <f>PERIODO_INFORME</f>
        <v>Al 31 de diciembre de 2019 y al 30 de marzo de 2020 (b)</v>
      </c>
      <c r="B4" s="161"/>
      <c r="C4" s="161"/>
      <c r="D4" s="161"/>
      <c r="E4" s="161"/>
      <c r="F4" s="161"/>
      <c r="G4" s="161"/>
      <c r="H4" s="162"/>
    </row>
    <row r="5" spans="1:9" ht="14.25" x14ac:dyDescent="0.45">
      <c r="A5" s="163" t="s">
        <v>118</v>
      </c>
      <c r="B5" s="164"/>
      <c r="C5" s="164"/>
      <c r="D5" s="164"/>
      <c r="E5" s="164"/>
      <c r="F5" s="164"/>
      <c r="G5" s="164"/>
      <c r="H5" s="165"/>
    </row>
    <row r="6" spans="1:9" ht="45" x14ac:dyDescent="0.25">
      <c r="A6" s="104" t="s">
        <v>121</v>
      </c>
      <c r="B6" s="105" t="str">
        <f>ULTIMO_SALDO</f>
        <v>Saldo al 31 de diciembre de 2019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ht="14.25" x14ac:dyDescent="0.4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ht="14.25" x14ac:dyDescent="0.4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0</v>
      </c>
      <c r="C18" s="131"/>
      <c r="D18" s="131"/>
      <c r="E18" s="131"/>
      <c r="F18" s="61">
        <v>0</v>
      </c>
      <c r="G18" s="131"/>
      <c r="H18" s="131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0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0</v>
      </c>
      <c r="G20" s="61">
        <f t="shared" si="3"/>
        <v>0</v>
      </c>
      <c r="H20" s="61">
        <f t="shared" si="3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ht="14.25" x14ac:dyDescent="0.4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ht="14.25" x14ac:dyDescent="0.4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ht="14.25" x14ac:dyDescent="0.4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ht="14.25" x14ac:dyDescent="0.4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7" t="s">
        <v>3300</v>
      </c>
      <c r="B33" s="167"/>
      <c r="C33" s="167"/>
      <c r="D33" s="167"/>
      <c r="E33" s="167"/>
      <c r="F33" s="167"/>
      <c r="G33" s="167"/>
      <c r="H33" s="167"/>
    </row>
    <row r="34" spans="1:8" ht="12" customHeight="1" x14ac:dyDescent="0.25">
      <c r="A34" s="167"/>
      <c r="B34" s="167"/>
      <c r="C34" s="167"/>
      <c r="D34" s="167"/>
      <c r="E34" s="167"/>
      <c r="F34" s="167"/>
      <c r="G34" s="167"/>
      <c r="H34" s="167"/>
    </row>
    <row r="35" spans="1:8" ht="12" customHeight="1" x14ac:dyDescent="0.25">
      <c r="A35" s="167"/>
      <c r="B35" s="167"/>
      <c r="C35" s="167"/>
      <c r="D35" s="167"/>
      <c r="E35" s="167"/>
      <c r="F35" s="167"/>
      <c r="G35" s="167"/>
      <c r="H35" s="167"/>
    </row>
    <row r="36" spans="1:8" ht="12" customHeight="1" x14ac:dyDescent="0.25">
      <c r="A36" s="167"/>
      <c r="B36" s="167"/>
      <c r="C36" s="167"/>
      <c r="D36" s="167"/>
      <c r="E36" s="167"/>
      <c r="F36" s="167"/>
      <c r="G36" s="167"/>
      <c r="H36" s="167"/>
    </row>
    <row r="37" spans="1:8" ht="12" customHeight="1" x14ac:dyDescent="0.25">
      <c r="A37" s="167"/>
      <c r="B37" s="167"/>
      <c r="C37" s="167"/>
      <c r="D37" s="167"/>
      <c r="E37" s="167"/>
      <c r="F37" s="167"/>
      <c r="G37" s="167"/>
      <c r="H37" s="167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sqref="A1:K1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6" t="s">
        <v>543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11"/>
    </row>
    <row r="2" spans="1:12" ht="14.25" x14ac:dyDescent="0.45">
      <c r="A2" s="154" t="str">
        <f>ENTE_PUBLICO_A</f>
        <v>JUNTA MUNICIPAL DE AGUA POTABLE Y ALCANTARILLADO DE CORTAZAR, GTO., Gobierno del Estado de Guanajuato (a)</v>
      </c>
      <c r="B2" s="155"/>
      <c r="C2" s="155"/>
      <c r="D2" s="155"/>
      <c r="E2" s="155"/>
      <c r="F2" s="155"/>
      <c r="G2" s="155"/>
      <c r="H2" s="155"/>
      <c r="I2" s="155"/>
      <c r="J2" s="155"/>
      <c r="K2" s="156"/>
    </row>
    <row r="3" spans="1:12" x14ac:dyDescent="0.25">
      <c r="A3" s="157" t="s">
        <v>146</v>
      </c>
      <c r="B3" s="158"/>
      <c r="C3" s="158"/>
      <c r="D3" s="158"/>
      <c r="E3" s="158"/>
      <c r="F3" s="158"/>
      <c r="G3" s="158"/>
      <c r="H3" s="158"/>
      <c r="I3" s="158"/>
      <c r="J3" s="158"/>
      <c r="K3" s="159"/>
    </row>
    <row r="4" spans="1:12" ht="14.25" x14ac:dyDescent="0.45">
      <c r="A4" s="160" t="str">
        <f>TRIMESTRE</f>
        <v>Del 1 de enero al 30 de marzo de 2020 (b)</v>
      </c>
      <c r="B4" s="161"/>
      <c r="C4" s="161"/>
      <c r="D4" s="161"/>
      <c r="E4" s="161"/>
      <c r="F4" s="161"/>
      <c r="G4" s="161"/>
      <c r="H4" s="161"/>
      <c r="I4" s="161"/>
      <c r="J4" s="161"/>
      <c r="K4" s="162"/>
    </row>
    <row r="5" spans="1:12" ht="14.25" x14ac:dyDescent="0.45">
      <c r="A5" s="157" t="s">
        <v>118</v>
      </c>
      <c r="B5" s="158"/>
      <c r="C5" s="158"/>
      <c r="D5" s="158"/>
      <c r="E5" s="158"/>
      <c r="F5" s="158"/>
      <c r="G5" s="158"/>
      <c r="H5" s="158"/>
      <c r="I5" s="158"/>
      <c r="J5" s="158"/>
      <c r="K5" s="159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marzo de 2020 (k)</v>
      </c>
      <c r="J6" s="130" t="str">
        <f>MONTO2</f>
        <v>Monto pagado de la inversión actualizado al 30 de marzo de 2020 (l)</v>
      </c>
      <c r="K6" s="130" t="str">
        <f>SALDO_PENDIENTE</f>
        <v>Saldo pendiente por pagar de la inversión al 30 de marzo de 2020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>
        <f>E9-J9</f>
        <v>0</v>
      </c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>
        <f t="shared" si="0"/>
        <v>0</v>
      </c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1"/>
        <v>0</v>
      </c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CONTABILIDAD</cp:lastModifiedBy>
  <cp:lastPrinted>2017-02-04T00:56:20Z</cp:lastPrinted>
  <dcterms:created xsi:type="dcterms:W3CDTF">2017-01-19T17:59:06Z</dcterms:created>
  <dcterms:modified xsi:type="dcterms:W3CDTF">2020-04-28T21:52:57Z</dcterms:modified>
</cp:coreProperties>
</file>